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5102422-B592-4009-88D5-08C55C0C2C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 gjitha programet " sheetId="1" r:id="rId1"/>
    <sheet name="Kryetari" sheetId="2" r:id="rId2"/>
    <sheet name="Kuvendi" sheetId="3" r:id="rId3"/>
    <sheet name="Administrata" sheetId="4" r:id="rId4"/>
    <sheet name="Inspekcioni" sheetId="5" r:id="rId5"/>
    <sheet name="Buxheti" sheetId="6" r:id="rId6"/>
    <sheet name="sherb publike" sheetId="7" r:id="rId7"/>
    <sheet name="Bujqesia" sheetId="8" r:id="rId8"/>
    <sheet name="Kadastra" sheetId="9" r:id="rId9"/>
    <sheet name="Plani urba" sheetId="10" r:id="rId10"/>
    <sheet name="Shendetsia" sheetId="11" r:id="rId11"/>
    <sheet name="Sherb sociale " sheetId="17" r:id="rId12"/>
    <sheet name="kultura" sheetId="12" r:id="rId13"/>
    <sheet name="ZKK" sheetId="14" r:id="rId14"/>
    <sheet name="arsimi" sheetId="15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D15" i="1"/>
  <c r="F9" i="1"/>
  <c r="E9" i="1"/>
  <c r="F14" i="1"/>
  <c r="D14" i="1"/>
  <c r="D20" i="1"/>
  <c r="C20" i="1"/>
  <c r="C22" i="1"/>
  <c r="B22" i="1"/>
  <c r="D21" i="1"/>
  <c r="C21" i="1"/>
  <c r="B21" i="1"/>
  <c r="B20" i="1"/>
  <c r="C15" i="1"/>
  <c r="B15" i="1" s="1"/>
  <c r="C14" i="1"/>
  <c r="C16" i="1" s="1"/>
  <c r="E14" i="1"/>
  <c r="E16" i="1" s="1"/>
  <c r="F8" i="1"/>
  <c r="E8" i="1"/>
  <c r="D8" i="1"/>
  <c r="C8" i="1"/>
  <c r="B8" i="1"/>
  <c r="F7" i="1"/>
  <c r="E7" i="1"/>
  <c r="D7" i="1"/>
  <c r="C7" i="1"/>
  <c r="B7" i="1"/>
  <c r="G9" i="1" l="1"/>
  <c r="B14" i="1"/>
  <c r="D16" i="1"/>
  <c r="H16" i="1"/>
  <c r="G16" i="1"/>
  <c r="I18" i="1" l="1"/>
  <c r="F27" i="1"/>
  <c r="B27" i="1"/>
  <c r="B28" i="1"/>
  <c r="B16" i="1" l="1"/>
  <c r="F14" i="15"/>
  <c r="D14" i="15"/>
  <c r="C14" i="15"/>
  <c r="F9" i="15"/>
  <c r="E9" i="15"/>
  <c r="C9" i="15"/>
  <c r="B14" i="6" l="1"/>
  <c r="B13" i="6"/>
  <c r="B14" i="11"/>
  <c r="B13" i="11"/>
  <c r="D13" i="17"/>
  <c r="F8" i="17"/>
  <c r="F7" i="17"/>
  <c r="B7" i="17"/>
  <c r="F6" i="17"/>
  <c r="B6" i="17"/>
  <c r="B5" i="17"/>
  <c r="F8" i="10"/>
  <c r="B13" i="9"/>
  <c r="F15" i="9"/>
  <c r="F8" i="9"/>
  <c r="F7" i="9"/>
  <c r="F6" i="9"/>
  <c r="E6" i="9"/>
  <c r="C20" i="8"/>
  <c r="B20" i="8"/>
  <c r="C19" i="8"/>
  <c r="B19" i="8"/>
  <c r="C18" i="8"/>
  <c r="B18" i="8"/>
  <c r="F7" i="8"/>
  <c r="D13" i="8"/>
  <c r="F8" i="8"/>
  <c r="D13" i="7"/>
  <c r="F8" i="6"/>
  <c r="B8" i="5"/>
  <c r="B7" i="5"/>
  <c r="B8" i="4"/>
  <c r="D13" i="4"/>
  <c r="D14" i="4"/>
  <c r="F7" i="4" l="1"/>
  <c r="F6" i="4"/>
  <c r="E6" i="4"/>
  <c r="F8" i="3"/>
  <c r="D14" i="2"/>
  <c r="F8" i="2"/>
  <c r="C20" i="12"/>
  <c r="B20" i="12"/>
  <c r="C19" i="12"/>
  <c r="B19" i="12"/>
  <c r="C18" i="12"/>
  <c r="B18" i="12"/>
  <c r="D13" i="12"/>
  <c r="F13" i="12"/>
  <c r="G8" i="12"/>
  <c r="F8" i="12"/>
  <c r="F13" i="11"/>
  <c r="D14" i="11"/>
  <c r="F8" i="11"/>
  <c r="E8" i="11"/>
  <c r="M4" i="11"/>
  <c r="F7" i="11"/>
  <c r="E7" i="11"/>
  <c r="B7" i="11"/>
  <c r="F6" i="11"/>
  <c r="E6" i="11"/>
  <c r="B6" i="11"/>
  <c r="E5" i="11"/>
  <c r="B5" i="11"/>
  <c r="B23" i="1" l="1"/>
  <c r="C23" i="1"/>
  <c r="K15" i="1"/>
  <c r="L15" i="1"/>
  <c r="K14" i="1"/>
  <c r="L13" i="1"/>
  <c r="K13" i="1"/>
  <c r="B13" i="1"/>
  <c r="I9" i="1"/>
  <c r="J9" i="1" s="1"/>
  <c r="B9" i="1"/>
  <c r="G8" i="1"/>
  <c r="G7" i="1"/>
  <c r="G6" i="1"/>
  <c r="F28" i="1" l="1"/>
  <c r="H18" i="1"/>
  <c r="J18" i="1"/>
  <c r="B29" i="1"/>
  <c r="C27" i="1" s="1"/>
  <c r="L14" i="1"/>
  <c r="C28" i="1" l="1"/>
  <c r="C29" i="1" s="1"/>
  <c r="I16" i="1"/>
  <c r="J16" i="1" s="1"/>
  <c r="F29" i="1"/>
  <c r="G27" i="1" s="1"/>
  <c r="G28" i="1" l="1"/>
  <c r="G29" i="1" s="1"/>
  <c r="D15" i="11" l="1"/>
  <c r="G11" i="11" s="1"/>
  <c r="C15" i="15" l="1"/>
  <c r="C13" i="15"/>
  <c r="E14" i="15"/>
  <c r="D9" i="15"/>
  <c r="D15" i="15"/>
  <c r="D13" i="15"/>
  <c r="G9" i="15"/>
  <c r="F15" i="15"/>
  <c r="F13" i="15"/>
  <c r="E15" i="15"/>
  <c r="E13" i="15"/>
  <c r="B13" i="15"/>
  <c r="K21" i="15"/>
  <c r="J9" i="15" l="1"/>
  <c r="D16" i="15"/>
  <c r="H16" i="15" l="1"/>
  <c r="F8" i="15"/>
  <c r="E8" i="15"/>
  <c r="F7" i="15"/>
  <c r="E7" i="15"/>
  <c r="B7" i="15"/>
  <c r="F6" i="15"/>
  <c r="E6" i="15"/>
  <c r="B6" i="15"/>
  <c r="G8" i="17"/>
  <c r="I8" i="17" s="1"/>
  <c r="F5" i="10" l="1"/>
  <c r="G8" i="9"/>
  <c r="I8" i="9" s="1"/>
  <c r="G7" i="9"/>
  <c r="I7" i="9" s="1"/>
  <c r="G6" i="9"/>
  <c r="G5" i="9"/>
  <c r="B13" i="8"/>
  <c r="B14" i="8"/>
  <c r="B15" i="8" s="1"/>
  <c r="B12" i="8"/>
  <c r="G7" i="8"/>
  <c r="I7" i="8" s="1"/>
  <c r="G6" i="8"/>
  <c r="D15" i="6" l="1"/>
  <c r="B15" i="6"/>
  <c r="C15" i="6"/>
  <c r="E15" i="6"/>
  <c r="F15" i="6"/>
  <c r="F7" i="6"/>
  <c r="G7" i="6"/>
  <c r="I7" i="6" s="1"/>
  <c r="F5" i="6"/>
  <c r="F5" i="3"/>
  <c r="E5" i="3"/>
  <c r="B8" i="2"/>
  <c r="F7" i="2"/>
  <c r="G6" i="2" l="1"/>
  <c r="G7" i="2"/>
  <c r="I7" i="2" s="1"/>
  <c r="G8" i="2"/>
  <c r="I8" i="2" s="1"/>
  <c r="G5" i="2"/>
  <c r="G5" i="17" l="1"/>
  <c r="G6" i="17"/>
  <c r="G7" i="17"/>
  <c r="I7" i="17" s="1"/>
  <c r="B26" i="2" l="1"/>
  <c r="G8" i="11" l="1"/>
  <c r="I8" i="11" s="1"/>
  <c r="B14" i="15" l="1"/>
  <c r="B15" i="15"/>
  <c r="B9" i="15"/>
  <c r="F25" i="14"/>
  <c r="B13" i="14"/>
  <c r="B13" i="10"/>
  <c r="B14" i="10"/>
  <c r="F7" i="10" l="1"/>
  <c r="F25" i="9"/>
  <c r="F26" i="9"/>
  <c r="G8" i="8"/>
  <c r="I8" i="8" s="1"/>
  <c r="F25" i="8"/>
  <c r="F24" i="8"/>
  <c r="B13" i="7"/>
  <c r="B15" i="7" s="1"/>
  <c r="F26" i="7"/>
  <c r="F25" i="7"/>
  <c r="F25" i="6"/>
  <c r="F26" i="6"/>
  <c r="B25" i="5"/>
  <c r="F26" i="5"/>
  <c r="F25" i="5"/>
  <c r="B12" i="5"/>
  <c r="B13" i="5"/>
  <c r="B14" i="5"/>
  <c r="B26" i="4"/>
  <c r="B25" i="4"/>
  <c r="B14" i="4"/>
  <c r="B13" i="4"/>
  <c r="C15" i="3"/>
  <c r="B13" i="3"/>
  <c r="B14" i="3"/>
  <c r="B12" i="3"/>
  <c r="F7" i="3"/>
  <c r="E7" i="3"/>
  <c r="C19" i="2"/>
  <c r="B19" i="2"/>
  <c r="C18" i="2"/>
  <c r="B18" i="2"/>
  <c r="F28" i="6" l="1"/>
  <c r="G25" i="6" s="1"/>
  <c r="G26" i="6" l="1"/>
  <c r="G28" i="6" s="1"/>
  <c r="C21" i="12"/>
  <c r="B21" i="12"/>
  <c r="C18" i="17"/>
  <c r="C19" i="17"/>
  <c r="C20" i="17"/>
  <c r="C21" i="17"/>
  <c r="B18" i="17"/>
  <c r="B19" i="17"/>
  <c r="B20" i="17"/>
  <c r="B21" i="17"/>
  <c r="F26" i="11"/>
  <c r="F25" i="11"/>
  <c r="B21" i="8"/>
  <c r="C21" i="8"/>
  <c r="B25" i="7"/>
  <c r="B20" i="2"/>
  <c r="B21" i="2"/>
  <c r="C20" i="2"/>
  <c r="C21" i="2"/>
  <c r="B45" i="1"/>
  <c r="B44" i="1"/>
  <c r="F63" i="1" l="1"/>
  <c r="D70" i="1"/>
  <c r="C63" i="1"/>
  <c r="E72" i="1"/>
  <c r="F72" i="1"/>
  <c r="G72" i="1"/>
  <c r="F64" i="1"/>
  <c r="E64" i="1"/>
  <c r="D64" i="1"/>
  <c r="C64" i="1"/>
  <c r="E63" i="1"/>
  <c r="D63" i="1"/>
  <c r="B63" i="1" l="1"/>
  <c r="B64" i="1"/>
  <c r="F62" i="1" l="1"/>
  <c r="E62" i="1"/>
  <c r="E65" i="1" s="1"/>
  <c r="D62" i="1"/>
  <c r="C62" i="1"/>
  <c r="B13" i="2"/>
  <c r="B14" i="2"/>
  <c r="B62" i="1" l="1"/>
  <c r="C65" i="1"/>
  <c r="D71" i="1"/>
  <c r="D72" i="1" s="1"/>
  <c r="C70" i="1"/>
  <c r="C69" i="1"/>
  <c r="F65" i="1"/>
  <c r="D65" i="1"/>
  <c r="C71" i="1" l="1"/>
  <c r="C72" i="1" s="1"/>
  <c r="G65" i="1"/>
  <c r="B65" i="1" l="1"/>
  <c r="G8" i="15" l="1"/>
  <c r="I8" i="15" s="1"/>
  <c r="G5" i="12"/>
  <c r="I5" i="12" s="1"/>
  <c r="G7" i="10"/>
  <c r="I7" i="10" s="1"/>
  <c r="G6" i="10"/>
  <c r="I6" i="10" s="1"/>
  <c r="G8" i="10"/>
  <c r="I8" i="10" s="1"/>
  <c r="G5" i="10"/>
  <c r="I5" i="10" s="1"/>
  <c r="G6" i="6"/>
  <c r="I6" i="6" s="1"/>
  <c r="G8" i="6"/>
  <c r="I8" i="6" s="1"/>
  <c r="G5" i="6"/>
  <c r="G6" i="4"/>
  <c r="G5" i="4"/>
  <c r="G5" i="3"/>
  <c r="I5" i="3" s="1"/>
  <c r="G6" i="3"/>
  <c r="I6" i="3" s="1"/>
  <c r="G7" i="3"/>
  <c r="I7" i="3" s="1"/>
  <c r="B28" i="17"/>
  <c r="C25" i="17" s="1"/>
  <c r="C15" i="17"/>
  <c r="B14" i="17"/>
  <c r="F15" i="17"/>
  <c r="F26" i="17" s="1"/>
  <c r="B13" i="17"/>
  <c r="D15" i="17"/>
  <c r="B8" i="17"/>
  <c r="E15" i="11"/>
  <c r="C15" i="11"/>
  <c r="B8" i="11"/>
  <c r="B15" i="17" l="1"/>
  <c r="B15" i="11"/>
  <c r="G5" i="11"/>
  <c r="J5" i="11" s="1"/>
  <c r="F25" i="17"/>
  <c r="G15" i="17"/>
  <c r="H15" i="17" s="1"/>
  <c r="E15" i="17"/>
  <c r="C26" i="17"/>
  <c r="C28" i="17" s="1"/>
  <c r="G6" i="11"/>
  <c r="J6" i="11" l="1"/>
  <c r="F28" i="17"/>
  <c r="G26" i="17" s="1"/>
  <c r="G25" i="17" l="1"/>
  <c r="G28" i="17" s="1"/>
  <c r="B8" i="15" l="1"/>
  <c r="G7" i="15"/>
  <c r="G6" i="15"/>
  <c r="G7" i="12"/>
  <c r="B12" i="12"/>
  <c r="B13" i="12"/>
  <c r="B15" i="12" s="1"/>
  <c r="H11" i="12"/>
  <c r="I7" i="12" l="1"/>
  <c r="I6" i="12"/>
  <c r="G6" i="12"/>
  <c r="F16" i="15"/>
  <c r="C16" i="15"/>
  <c r="B26" i="15" s="1"/>
  <c r="E16" i="15"/>
  <c r="B27" i="15" s="1"/>
  <c r="B16" i="15"/>
  <c r="F26" i="15"/>
  <c r="I9" i="15"/>
  <c r="F27" i="15" l="1"/>
  <c r="F29" i="15" s="1"/>
  <c r="G27" i="15" s="1"/>
  <c r="H11" i="15"/>
  <c r="B29" i="15"/>
  <c r="C26" i="15" s="1"/>
  <c r="G16" i="15"/>
  <c r="I16" i="15" s="1"/>
  <c r="C15" i="4"/>
  <c r="E15" i="4"/>
  <c r="F15" i="4"/>
  <c r="F26" i="4" s="1"/>
  <c r="B15" i="4"/>
  <c r="G8" i="4"/>
  <c r="I8" i="4" s="1"/>
  <c r="C27" i="15" l="1"/>
  <c r="C29" i="15" s="1"/>
  <c r="G26" i="15"/>
  <c r="G29" i="15" s="1"/>
  <c r="I8" i="12" l="1"/>
  <c r="F15" i="10"/>
  <c r="F26" i="10" s="1"/>
  <c r="D15" i="10"/>
  <c r="F25" i="10" s="1"/>
  <c r="D15" i="9"/>
  <c r="G15" i="9" s="1"/>
  <c r="D15" i="2"/>
  <c r="F25" i="2" s="1"/>
  <c r="G15" i="10" l="1"/>
  <c r="D15" i="12"/>
  <c r="G7" i="4"/>
  <c r="F25" i="12" l="1"/>
  <c r="F15" i="12"/>
  <c r="F26" i="12" s="1"/>
  <c r="G13" i="10"/>
  <c r="G13" i="9"/>
  <c r="D15" i="8"/>
  <c r="E15" i="8"/>
  <c r="F15" i="8"/>
  <c r="D15" i="7"/>
  <c r="I8" i="7" s="1"/>
  <c r="G15" i="12" l="1"/>
  <c r="H15" i="12" s="1"/>
  <c r="G15" i="8"/>
  <c r="H15" i="8" s="1"/>
  <c r="G8" i="3"/>
  <c r="I8" i="3" s="1"/>
  <c r="D15" i="3"/>
  <c r="F25" i="3" s="1"/>
  <c r="E15" i="3"/>
  <c r="B15" i="3" s="1"/>
  <c r="F15" i="3"/>
  <c r="F26" i="3" s="1"/>
  <c r="B15" i="2"/>
  <c r="C15" i="2"/>
  <c r="B25" i="2" s="1"/>
  <c r="E15" i="2"/>
  <c r="F15" i="2"/>
  <c r="F26" i="2" s="1"/>
  <c r="G15" i="3" l="1"/>
  <c r="G15" i="2"/>
  <c r="I15" i="2" s="1"/>
  <c r="L11" i="11"/>
  <c r="L13" i="11" s="1"/>
  <c r="M14" i="11" s="1"/>
  <c r="F28" i="14"/>
  <c r="G26" i="14" s="1"/>
  <c r="B28" i="14"/>
  <c r="C26" i="14" s="1"/>
  <c r="F28" i="12"/>
  <c r="G26" i="12" s="1"/>
  <c r="B28" i="12"/>
  <c r="C26" i="12" s="1"/>
  <c r="F28" i="10"/>
  <c r="G26" i="10" s="1"/>
  <c r="B28" i="10"/>
  <c r="C25" i="10" s="1"/>
  <c r="C26" i="10"/>
  <c r="F28" i="9"/>
  <c r="G26" i="9" s="1"/>
  <c r="B28" i="9"/>
  <c r="C26" i="9" s="1"/>
  <c r="F27" i="8"/>
  <c r="G25" i="8" s="1"/>
  <c r="B27" i="8"/>
  <c r="C25" i="8" s="1"/>
  <c r="F28" i="7"/>
  <c r="G26" i="7" s="1"/>
  <c r="B28" i="7"/>
  <c r="C25" i="7" s="1"/>
  <c r="B28" i="6"/>
  <c r="C25" i="6" s="1"/>
  <c r="F28" i="5"/>
  <c r="G26" i="5" s="1"/>
  <c r="B28" i="5"/>
  <c r="C25" i="5" s="1"/>
  <c r="B28" i="4"/>
  <c r="C26" i="4" s="1"/>
  <c r="F28" i="3"/>
  <c r="G25" i="3" s="1"/>
  <c r="B28" i="3"/>
  <c r="C26" i="3" s="1"/>
  <c r="F28" i="2"/>
  <c r="G26" i="2" s="1"/>
  <c r="B28" i="2"/>
  <c r="C26" i="2" s="1"/>
  <c r="B47" i="1"/>
  <c r="C45" i="1" s="1"/>
  <c r="C24" i="8" l="1"/>
  <c r="C28" i="10"/>
  <c r="C26" i="5"/>
  <c r="C28" i="5" s="1"/>
  <c r="C25" i="9"/>
  <c r="C28" i="9" s="1"/>
  <c r="C25" i="14"/>
  <c r="C28" i="14" s="1"/>
  <c r="G25" i="14"/>
  <c r="G28" i="14" s="1"/>
  <c r="C26" i="6"/>
  <c r="C28" i="6" s="1"/>
  <c r="G15" i="6"/>
  <c r="I15" i="6" s="1"/>
  <c r="C25" i="4"/>
  <c r="C28" i="4" s="1"/>
  <c r="G25" i="10"/>
  <c r="G28" i="10" s="1"/>
  <c r="G25" i="9"/>
  <c r="G28" i="9" s="1"/>
  <c r="G25" i="7"/>
  <c r="G28" i="7" s="1"/>
  <c r="M13" i="11"/>
  <c r="M15" i="11" s="1"/>
  <c r="C26" i="7"/>
  <c r="C28" i="7" s="1"/>
  <c r="C27" i="8"/>
  <c r="C25" i="12"/>
  <c r="C28" i="12" s="1"/>
  <c r="G25" i="5"/>
  <c r="G28" i="5" s="1"/>
  <c r="G26" i="3"/>
  <c r="G28" i="3" s="1"/>
  <c r="C25" i="3"/>
  <c r="C28" i="3" s="1"/>
  <c r="C25" i="2"/>
  <c r="C28" i="2" s="1"/>
  <c r="G25" i="2"/>
  <c r="G28" i="2" s="1"/>
  <c r="G25" i="12"/>
  <c r="G28" i="12" s="1"/>
  <c r="G24" i="8"/>
  <c r="G27" i="8" s="1"/>
  <c r="C44" i="1"/>
  <c r="C47" i="1" s="1"/>
  <c r="B28" i="11"/>
  <c r="C26" i="11" s="1"/>
  <c r="M16" i="11" l="1"/>
  <c r="C25" i="11"/>
  <c r="C28" i="11" s="1"/>
  <c r="G7" i="11" l="1"/>
  <c r="I7" i="11" l="1"/>
  <c r="I9" i="11" s="1"/>
  <c r="J9" i="11" s="1"/>
  <c r="F15" i="11"/>
  <c r="H16" i="11"/>
  <c r="L8" i="11" l="1"/>
  <c r="G15" i="11"/>
  <c r="J15" i="11" s="1"/>
  <c r="I11" i="11" l="1"/>
  <c r="H13" i="11"/>
  <c r="F28" i="11"/>
  <c r="G26" i="11" s="1"/>
  <c r="G25" i="11" l="1"/>
  <c r="G28" i="11" s="1"/>
  <c r="D15" i="4"/>
  <c r="F25" i="4" l="1"/>
  <c r="F28" i="4" s="1"/>
  <c r="G26" i="4" s="1"/>
  <c r="H15" i="4"/>
  <c r="J15" i="4" s="1"/>
  <c r="G25" i="4" l="1"/>
  <c r="G28" i="4" s="1"/>
</calcChain>
</file>

<file path=xl/sharedStrings.xml><?xml version="1.0" encoding="utf-8"?>
<sst xmlns="http://schemas.openxmlformats.org/spreadsheetml/2006/main" count="675" uniqueCount="72">
  <si>
    <t xml:space="preserve">Buxhetimi i Përgjegjshëm Gjinor </t>
  </si>
  <si>
    <t xml:space="preserve">Viti </t>
  </si>
  <si>
    <t xml:space="preserve">Nr total i stafit </t>
  </si>
  <si>
    <t xml:space="preserve">Nr i stafit që janë gra </t>
  </si>
  <si>
    <t>Nr i stafit që janë burra</t>
  </si>
  <si>
    <t>Pagae mëditje / shuma për gra /</t>
  </si>
  <si>
    <t>Pagae mëditje / shuma për burra/</t>
  </si>
  <si>
    <t>Nivelet e pagave</t>
  </si>
  <si>
    <t>Nr i stafit</t>
  </si>
  <si>
    <t>Numri i burrave</t>
  </si>
  <si>
    <t>Shuma e shp për burra</t>
  </si>
  <si>
    <t>Numri i grave</t>
  </si>
  <si>
    <t>Shuma e shp për gra</t>
  </si>
  <si>
    <t>201-400</t>
  </si>
  <si>
    <t>401-600</t>
  </si>
  <si>
    <t>600+</t>
  </si>
  <si>
    <t>Viti</t>
  </si>
  <si>
    <t xml:space="preserve">Shuma e buxhetit </t>
  </si>
  <si>
    <t>Numri i përfituesve</t>
  </si>
  <si>
    <t>Numri i përfituesve gra</t>
  </si>
  <si>
    <t xml:space="preserve">Nr i përfituesve burra </t>
  </si>
  <si>
    <t xml:space="preserve">Buxheti për gra </t>
  </si>
  <si>
    <t xml:space="preserve">Buxheti për burra </t>
  </si>
  <si>
    <t>kultura</t>
  </si>
  <si>
    <t>ZKK</t>
  </si>
  <si>
    <t xml:space="preserve">Buxhetimi i Përgjegjshëm Gjinor - Zyra e kryetarit </t>
  </si>
  <si>
    <t xml:space="preserve">Buxhetimi i Përgjegjshëm Gjinor - Zyra e Kuvendit Komunal </t>
  </si>
  <si>
    <t xml:space="preserve">Buxhetimi i Përgjegjshëm Gjinor -Drejtoria e inspekcionit </t>
  </si>
  <si>
    <t>Buxhetimi i Përgjegjshëm Gjinor -Drejtoria e Administratës</t>
  </si>
  <si>
    <t xml:space="preserve">Buxhetimi i Përgjegjshëm Gjinor - Drejtoria e FEZH-it </t>
  </si>
  <si>
    <t xml:space="preserve">Buxhetimi i Përgjegjshëm Gjinor -Drejtoria e Shërbimeve Publike </t>
  </si>
  <si>
    <t xml:space="preserve">Buxhetimi i Përgjegjshëm Gjinor -Drejtoria e Bujqësis , Pylltaris dhe Zhvillimit Rural </t>
  </si>
  <si>
    <t xml:space="preserve">Buxhetimi i Përgjegjshëm Gjinor - Drejtoria e Kadastrit </t>
  </si>
  <si>
    <t xml:space="preserve">Buxhetimi i Përgjegjshëm Gjinor -Planifikimit Urban </t>
  </si>
  <si>
    <t>Buxhetimi i Përgjegjshëm Gjinor -Drejtoria e shëndetsis dhe mirëqenjes sociale</t>
  </si>
  <si>
    <t>Buxhetimi i Përgjegjshëm Gjinor -Drejtoria e kulturës</t>
  </si>
  <si>
    <t xml:space="preserve">Buxhetimi i Përgjegjshëm Gjinor - Drejtoria e Arsimit </t>
  </si>
  <si>
    <t>Buxhetimi i Përgjegjshëm Gjinor - zyra e ZKK-së</t>
  </si>
  <si>
    <t>%</t>
  </si>
  <si>
    <t xml:space="preserve">  Totali </t>
  </si>
  <si>
    <t>Gjinia</t>
  </si>
  <si>
    <t>numri I te punsuarve</t>
  </si>
  <si>
    <t xml:space="preserve">Burra </t>
  </si>
  <si>
    <t xml:space="preserve">Gra </t>
  </si>
  <si>
    <t xml:space="preserve">Niveli i pagave </t>
  </si>
  <si>
    <t>Numri i të punsuarve</t>
  </si>
  <si>
    <t>% e  përfituesve ne subvencione</t>
  </si>
  <si>
    <t>Planifikimi për vitin 2017</t>
  </si>
  <si>
    <t>Tabela nr 1</t>
  </si>
  <si>
    <t xml:space="preserve">Tabela nr 3   Numri i përfituesve të subvencioneve apo shërbime të ofruara </t>
  </si>
  <si>
    <t>Tabela nr/1</t>
  </si>
  <si>
    <t>Numri i përfituesve në %</t>
  </si>
  <si>
    <t xml:space="preserve"> Niveli i pagave ne %</t>
  </si>
  <si>
    <t>Niveli i pagave  në%</t>
  </si>
  <si>
    <t>Niveli i pagave  ne %</t>
  </si>
  <si>
    <t>Niveli i pagave në %</t>
  </si>
  <si>
    <t>shuma e mjeteve</t>
  </si>
  <si>
    <t xml:space="preserve">shuma e mejteve </t>
  </si>
  <si>
    <t xml:space="preserve">Komuna Viti </t>
  </si>
  <si>
    <t xml:space="preserve">Tabela nr 1 </t>
  </si>
  <si>
    <t xml:space="preserve">shuma e mjeteve </t>
  </si>
  <si>
    <t>totali</t>
  </si>
  <si>
    <t>Planifikimi për vitin 2019</t>
  </si>
  <si>
    <t>Tabela nr 2- Nivelet e pagave -2019</t>
  </si>
  <si>
    <t xml:space="preserve">Buxhetimi i Përgjegjshëm Gjinor -Drejtoria e shërbimeve sociale </t>
  </si>
  <si>
    <t>Planifikimi për vitin 2022</t>
  </si>
  <si>
    <t>Planifikimi për vitin 2023</t>
  </si>
  <si>
    <t>Tabela nr 2- Nivelet e pagave -2023</t>
  </si>
  <si>
    <t>Numri i të punësuarve</t>
  </si>
  <si>
    <t>Buxheti  i të gjitha programeve Komuna e Vitis për vitin 2025</t>
  </si>
  <si>
    <t>Planifikimi për vitin 2025</t>
  </si>
  <si>
    <t>Tabela nr 2- Nivelet e pagave 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</si>
</sst>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6" xfId="0" applyBorder="1"/>
    <xf numFmtId="0" fontId="8" fillId="0" borderId="6" xfId="0" applyFont="1" applyBorder="1"/>
    <xf numFmtId="2" fontId="0" fillId="0" borderId="6" xfId="0" applyNumberFormat="1" applyBorder="1"/>
    <xf numFmtId="0" fontId="0" fillId="0" borderId="0" xfId="0" applyBorder="1"/>
    <xf numFmtId="2" fontId="0" fillId="0" borderId="0" xfId="0" applyNumberFormat="1" applyBorder="1"/>
    <xf numFmtId="0" fontId="7" fillId="0" borderId="0" xfId="0" applyFont="1"/>
    <xf numFmtId="0" fontId="9" fillId="0" borderId="6" xfId="0" applyFont="1" applyBorder="1"/>
    <xf numFmtId="0" fontId="6" fillId="0" borderId="6" xfId="0" applyFont="1" applyBorder="1"/>
    <xf numFmtId="2" fontId="6" fillId="0" borderId="6" xfId="0" applyNumberFormat="1" applyFont="1" applyBorder="1"/>
    <xf numFmtId="2" fontId="6" fillId="0" borderId="0" xfId="0" applyNumberFormat="1" applyFont="1" applyBorder="1"/>
    <xf numFmtId="0" fontId="3" fillId="0" borderId="7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0" fillId="0" borderId="0" xfId="0" applyFont="1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0" xfId="0" applyFill="1" applyBorder="1"/>
    <xf numFmtId="0" fontId="2" fillId="0" borderId="0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12" xfId="0" applyFont="1" applyBorder="1"/>
    <xf numFmtId="0" fontId="0" fillId="0" borderId="11" xfId="0" applyBorder="1"/>
    <xf numFmtId="0" fontId="11" fillId="0" borderId="0" xfId="0" applyFont="1" applyBorder="1"/>
    <xf numFmtId="0" fontId="1" fillId="0" borderId="6" xfId="0" applyFont="1" applyBorder="1"/>
    <xf numFmtId="0" fontId="7" fillId="0" borderId="6" xfId="0" applyFont="1" applyBorder="1"/>
    <xf numFmtId="0" fontId="12" fillId="0" borderId="1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164" fontId="0" fillId="0" borderId="0" xfId="1" applyNumberFormat="1" applyFont="1"/>
    <xf numFmtId="0" fontId="8" fillId="0" borderId="1" xfId="0" applyFont="1" applyBorder="1"/>
    <xf numFmtId="164" fontId="12" fillId="0" borderId="0" xfId="1" applyNumberFormat="1" applyFont="1" applyFill="1" applyBorder="1" applyAlignment="1">
      <alignment vertical="top" wrapText="1"/>
    </xf>
    <xf numFmtId="0" fontId="0" fillId="0" borderId="0" xfId="0" applyFont="1"/>
    <xf numFmtId="0" fontId="13" fillId="0" borderId="0" xfId="0" applyFont="1"/>
    <xf numFmtId="0" fontId="12" fillId="0" borderId="0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12" fillId="0" borderId="8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0" fillId="0" borderId="1" xfId="0" applyBorder="1" applyAlignment="1"/>
    <xf numFmtId="0" fontId="12" fillId="0" borderId="18" xfId="0" applyFont="1" applyBorder="1" applyAlignment="1">
      <alignment vertical="top" wrapText="1"/>
    </xf>
    <xf numFmtId="0" fontId="12" fillId="0" borderId="16" xfId="0" applyFont="1" applyBorder="1" applyAlignment="1">
      <alignment wrapText="1"/>
    </xf>
    <xf numFmtId="0" fontId="0" fillId="0" borderId="2" xfId="0" applyBorder="1" applyAlignment="1"/>
    <xf numFmtId="0" fontId="2" fillId="0" borderId="19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4" fillId="0" borderId="15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8" fillId="0" borderId="15" xfId="0" applyFont="1" applyFill="1" applyBorder="1"/>
    <xf numFmtId="0" fontId="12" fillId="0" borderId="0" xfId="0" applyFont="1" applyFill="1" applyBorder="1" applyAlignment="1">
      <alignment vertical="top" wrapText="1"/>
    </xf>
    <xf numFmtId="164" fontId="0" fillId="0" borderId="0" xfId="0" applyNumberFormat="1"/>
    <xf numFmtId="0" fontId="4" fillId="0" borderId="0" xfId="0" applyFont="1" applyFill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0" fillId="0" borderId="20" xfId="0" applyFill="1" applyBorder="1"/>
    <xf numFmtId="0" fontId="2" fillId="0" borderId="5" xfId="0" applyFont="1" applyFill="1" applyBorder="1" applyAlignment="1">
      <alignment vertical="top" wrapText="1"/>
    </xf>
    <xf numFmtId="0" fontId="8" fillId="0" borderId="0" xfId="0" applyFont="1"/>
    <xf numFmtId="0" fontId="12" fillId="0" borderId="5" xfId="0" applyFont="1" applyFill="1" applyBorder="1" applyAlignment="1">
      <alignment vertical="top"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8" fillId="0" borderId="0" xfId="0" applyFont="1" applyFill="1" applyBorder="1"/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3" fillId="0" borderId="19" xfId="0" applyFont="1" applyBorder="1" applyAlignment="1">
      <alignment vertical="top" wrapText="1"/>
    </xf>
    <xf numFmtId="0" fontId="12" fillId="0" borderId="20" xfId="0" applyFont="1" applyFill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6" fillId="0" borderId="9" xfId="0" applyFont="1" applyBorder="1"/>
    <xf numFmtId="0" fontId="14" fillId="0" borderId="8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0" fillId="0" borderId="6" xfId="0" applyBorder="1" applyAlignment="1">
      <alignment wrapText="1"/>
    </xf>
    <xf numFmtId="0" fontId="17" fillId="0" borderId="0" xfId="0" applyFont="1"/>
    <xf numFmtId="0" fontId="13" fillId="0" borderId="6" xfId="0" applyFont="1" applyBorder="1"/>
    <xf numFmtId="0" fontId="13" fillId="0" borderId="0" xfId="0" applyFont="1" applyBorder="1"/>
    <xf numFmtId="0" fontId="12" fillId="0" borderId="6" xfId="0" applyFont="1" applyBorder="1"/>
    <xf numFmtId="2" fontId="13" fillId="0" borderId="6" xfId="0" applyNumberFormat="1" applyFont="1" applyBorder="1"/>
    <xf numFmtId="2" fontId="13" fillId="0" borderId="0" xfId="0" applyNumberFormat="1" applyFont="1" applyBorder="1"/>
    <xf numFmtId="0" fontId="18" fillId="0" borderId="6" xfId="0" applyFont="1" applyBorder="1"/>
    <xf numFmtId="0" fontId="19" fillId="0" borderId="6" xfId="0" applyFont="1" applyBorder="1"/>
    <xf numFmtId="2" fontId="19" fillId="0" borderId="6" xfId="0" applyNumberFormat="1" applyFont="1" applyBorder="1"/>
    <xf numFmtId="2" fontId="19" fillId="0" borderId="0" xfId="0" applyNumberFormat="1" applyFont="1" applyBorder="1"/>
    <xf numFmtId="0" fontId="12" fillId="0" borderId="20" xfId="0" applyFont="1" applyFill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8" fillId="0" borderId="3" xfId="0" applyFont="1" applyBorder="1" applyAlignment="1">
      <alignment vertical="center"/>
    </xf>
    <xf numFmtId="0" fontId="0" fillId="0" borderId="7" xfId="0" applyFill="1" applyBorder="1"/>
    <xf numFmtId="0" fontId="12" fillId="0" borderId="15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8" fillId="0" borderId="15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'[1]2019,,'!$O$7</c:f>
              <c:strCache>
                <c:ptCount val="1"/>
                <c:pt idx="0">
                  <c:v>Shuma </c:v>
                </c:pt>
              </c:strCache>
            </c:strRef>
          </c:tx>
          <c:dLbls>
            <c:dLbl>
              <c:idx val="0"/>
              <c:layout>
                <c:manualLayout>
                  <c:x val="6.6690422601798735E-2"/>
                  <c:y val="-1.3269903762029661E-2"/>
                </c:manualLayout>
              </c:layout>
              <c:tx>
                <c:rich>
                  <a:bodyPr/>
                  <a:lstStyle/>
                  <a:p>
                    <a:fld id="{F983A53B-B77A-40F2-AF01-DF5900A2DFB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58%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039-4E65-A8FE-09BDB95ACF54}"/>
                </c:ext>
              </c:extLst>
            </c:dLbl>
            <c:dLbl>
              <c:idx val="1"/>
              <c:layout>
                <c:manualLayout>
                  <c:x val="-1.4650623245655549E-2"/>
                  <c:y val="-0.17185787260463409"/>
                </c:manualLayout>
              </c:layout>
              <c:tx>
                <c:rich>
                  <a:bodyPr/>
                  <a:lstStyle/>
                  <a:p>
                    <a:fld id="{52575E48-032C-4AF9-8655-8583212CD0F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42%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039-4E65-A8FE-09BDB95ACF54}"/>
                </c:ext>
              </c:extLst>
            </c:dLbl>
            <c:dLbl>
              <c:idx val="4"/>
              <c:layout>
                <c:manualLayout>
                  <c:x val="6.0451958500039399E-2"/>
                  <c:y val="-6.7061825605132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9-4E65-A8FE-09BDB95ACF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'[1]2019,,'!$M$8:$N$12</c:f>
              <c:strCache>
                <c:ptCount val="5"/>
                <c:pt idx="0">
                  <c:v>Burra </c:v>
                </c:pt>
                <c:pt idx="1">
                  <c:v>Gra </c:v>
                </c:pt>
              </c:strCache>
            </c:strRef>
          </c:cat>
          <c:val>
            <c:numRef>
              <c:f>'[1]2019,,'!$O$8:$O$12</c:f>
              <c:numCache>
                <c:formatCode>General</c:formatCode>
                <c:ptCount val="5"/>
                <c:pt idx="0">
                  <c:v>693</c:v>
                </c:pt>
                <c:pt idx="1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39-4E65-A8FE-09BDB95ACF54}"/>
            </c:ext>
          </c:extLst>
        </c:ser>
        <c:ser>
          <c:idx val="1"/>
          <c:order val="1"/>
          <c:tx>
            <c:strRef>
              <c:f>'[1]2019,,'!$P$7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'[1]2019,,'!$M$8:$N$12</c:f>
              <c:strCache>
                <c:ptCount val="5"/>
                <c:pt idx="0">
                  <c:v>Burra </c:v>
                </c:pt>
                <c:pt idx="1">
                  <c:v>Gra </c:v>
                </c:pt>
              </c:strCache>
            </c:strRef>
          </c:cat>
          <c:val>
            <c:numRef>
              <c:f>'[1]2019,,'!$P$8:$P$12</c:f>
              <c:numCache>
                <c:formatCode>General</c:formatCode>
                <c:ptCount val="5"/>
                <c:pt idx="0">
                  <c:v>58.728813559322035</c:v>
                </c:pt>
                <c:pt idx="1">
                  <c:v>41.271186440677965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39-4E65-A8FE-09BDB95ACF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872027877784407"/>
          <c:y val="0.53727598566308243"/>
          <c:w val="0.24660943426195106"/>
          <c:h val="0.46272401433691757"/>
        </c:manualLayout>
      </c:layout>
      <c:pieChart>
        <c:varyColors val="1"/>
        <c:ser>
          <c:idx val="1"/>
          <c:order val="0"/>
          <c:tx>
            <c:strRef>
              <c:f>'[1]2019,,'!$P$7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elete val="1"/>
          </c:dLbls>
          <c:cat>
            <c:strRef>
              <c:f>'[1]2019,,'!$M$8:$N$12</c:f>
              <c:strCache>
                <c:ptCount val="5"/>
                <c:pt idx="0">
                  <c:v>Burra </c:v>
                </c:pt>
                <c:pt idx="1">
                  <c:v>Gra </c:v>
                </c:pt>
              </c:strCache>
            </c:strRef>
          </c:cat>
          <c:val>
            <c:numRef>
              <c:f>'[1]2019,,'!$P$8:$P$12</c:f>
              <c:numCache>
                <c:formatCode>General</c:formatCode>
                <c:ptCount val="5"/>
                <c:pt idx="0">
                  <c:v>58.728813559322035</c:v>
                </c:pt>
                <c:pt idx="1">
                  <c:v>41.271186440677965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88-456D-802C-9A94C4016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</a:t>
            </a:r>
            <a:r>
              <a:rPr lang="en-US" baseline="0"/>
              <a:t> e perfituesve burra e gra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</a:t>
            </a:r>
            <a:r>
              <a:rPr lang="en-US" baseline="0"/>
              <a:t> e përfituesve burra e gra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 gjitha programet '!$E$27:$E$28</c:f>
              <c:strCache>
                <c:ptCount val="2"/>
                <c:pt idx="0">
                  <c:v>Burra </c:v>
                </c:pt>
                <c:pt idx="1">
                  <c:v>Gra </c:v>
                </c:pt>
              </c:strCache>
            </c:strRef>
          </c:cat>
          <c:val>
            <c:numRef>
              <c:f>'te gjitha programet '!$F$27:$F$28</c:f>
              <c:numCache>
                <c:formatCode>General</c:formatCode>
                <c:ptCount val="2"/>
                <c:pt idx="0">
                  <c:v>4970786</c:v>
                </c:pt>
                <c:pt idx="1">
                  <c:v>4916338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D-47BB-9476-5603798B67F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 gjitha programet '!$E$27:$E$28</c:f>
              <c:strCache>
                <c:ptCount val="2"/>
                <c:pt idx="0">
                  <c:v>Burra </c:v>
                </c:pt>
                <c:pt idx="1">
                  <c:v>Gra </c:v>
                </c:pt>
              </c:strCache>
            </c:strRef>
          </c:cat>
          <c:val>
            <c:numRef>
              <c:f>'te gjitha programet '!$G$27:$G$28</c:f>
              <c:numCache>
                <c:formatCode>0.00</c:formatCode>
                <c:ptCount val="2"/>
                <c:pt idx="0">
                  <c:v>50.275348018291261</c:v>
                </c:pt>
                <c:pt idx="1">
                  <c:v>49.724651981708739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D-47BB-9476-5603798B6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9327"/>
        <c:axId val="6961823"/>
      </c:barChart>
      <c:catAx>
        <c:axId val="695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1823"/>
        <c:crosses val="autoZero"/>
        <c:auto val="1"/>
        <c:lblAlgn val="ctr"/>
        <c:lblOffset val="100"/>
        <c:noMultiLvlLbl val="0"/>
      </c:catAx>
      <c:valAx>
        <c:axId val="696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9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0</xdr:row>
      <xdr:rowOff>57151</xdr:rowOff>
    </xdr:from>
    <xdr:ext cx="628650" cy="49530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57151"/>
          <a:ext cx="628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542925</xdr:colOff>
      <xdr:row>29</xdr:row>
      <xdr:rowOff>228600</xdr:rowOff>
    </xdr:from>
    <xdr:to>
      <xdr:col>18</xdr:col>
      <xdr:colOff>171449</xdr:colOff>
      <xdr:row>36</xdr:row>
      <xdr:rowOff>200025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28575</xdr:colOff>
      <xdr:row>0</xdr:row>
      <xdr:rowOff>57151</xdr:rowOff>
    </xdr:from>
    <xdr:ext cx="628650" cy="49530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57151"/>
          <a:ext cx="628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209550</xdr:colOff>
      <xdr:row>32</xdr:row>
      <xdr:rowOff>238125</xdr:rowOff>
    </xdr:from>
    <xdr:to>
      <xdr:col>13</xdr:col>
      <xdr:colOff>514350</xdr:colOff>
      <xdr:row>36</xdr:row>
      <xdr:rowOff>200025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185737</xdr:colOff>
      <xdr:row>32</xdr:row>
      <xdr:rowOff>90487</xdr:rowOff>
    </xdr:from>
    <xdr:to>
      <xdr:col>13</xdr:col>
      <xdr:colOff>523875</xdr:colOff>
      <xdr:row>33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676275</xdr:colOff>
      <xdr:row>30</xdr:row>
      <xdr:rowOff>28575</xdr:rowOff>
    </xdr:from>
    <xdr:to>
      <xdr:col>5</xdr:col>
      <xdr:colOff>342900</xdr:colOff>
      <xdr:row>36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504825</xdr:colOff>
      <xdr:row>0</xdr:row>
      <xdr:rowOff>304800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0480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361950</xdr:colOff>
      <xdr:row>0</xdr:row>
      <xdr:rowOff>0</xdr:rowOff>
    </xdr:from>
    <xdr:ext cx="628650" cy="8572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247650</xdr:rowOff>
    </xdr:from>
    <xdr:ext cx="628650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47650"/>
          <a:ext cx="628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at.Zuka/Desktop/Plan%20buxheti%202018-2020%20i%20rregulluar24.10.2017%20shtes&#235;%2025014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- "/>
      <sheetName val="2019,,"/>
      <sheetName val="2020"/>
      <sheetName val="Tabela e buxhetit sipas viteve "/>
    </sheetNames>
    <sheetDataSet>
      <sheetData sheetId="0"/>
      <sheetData sheetId="1">
        <row r="7">
          <cell r="O7" t="str">
            <v xml:space="preserve">Shuma </v>
          </cell>
          <cell r="P7" t="str">
            <v>%</v>
          </cell>
        </row>
        <row r="8">
          <cell r="N8" t="str">
            <v xml:space="preserve">Burra </v>
          </cell>
          <cell r="O8">
            <v>693</v>
          </cell>
          <cell r="P8">
            <v>58.728813559322035</v>
          </cell>
        </row>
        <row r="9">
          <cell r="N9" t="str">
            <v xml:space="preserve">Gra </v>
          </cell>
          <cell r="O9">
            <v>487</v>
          </cell>
          <cell r="P9">
            <v>41.271186440677965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workbookViewId="0">
      <selection activeCell="G36" sqref="A1:G36"/>
    </sheetView>
  </sheetViews>
  <sheetFormatPr defaultRowHeight="15" x14ac:dyDescent="0.25"/>
  <cols>
    <col min="1" max="1" width="13.140625" customWidth="1"/>
    <col min="2" max="2" width="11.28515625" customWidth="1"/>
    <col min="3" max="3" width="14" customWidth="1"/>
    <col min="4" max="4" width="12.42578125" customWidth="1"/>
    <col min="5" max="5" width="12.140625" customWidth="1"/>
    <col min="6" max="6" width="14.85546875" customWidth="1"/>
    <col min="7" max="7" width="12.140625" customWidth="1"/>
    <col min="8" max="8" width="12" bestFit="1" customWidth="1"/>
  </cols>
  <sheetData>
    <row r="1" spans="1:12" ht="42" customHeight="1" x14ac:dyDescent="0.25">
      <c r="A1" s="1"/>
      <c r="B1" s="1"/>
    </row>
    <row r="2" spans="1:12" ht="18" customHeight="1" x14ac:dyDescent="0.25">
      <c r="A2" s="120" t="s">
        <v>69</v>
      </c>
      <c r="B2" s="120"/>
      <c r="C2" s="120"/>
      <c r="D2" s="120"/>
      <c r="E2" s="120"/>
      <c r="F2" s="120"/>
      <c r="G2" s="120"/>
    </row>
    <row r="3" spans="1:12" ht="15.75" x14ac:dyDescent="0.25">
      <c r="A3" s="121" t="s">
        <v>0</v>
      </c>
      <c r="B3" s="121"/>
      <c r="C3" s="121"/>
      <c r="D3" s="121"/>
      <c r="E3" s="121"/>
      <c r="F3" s="121"/>
    </row>
    <row r="4" spans="1:12" ht="15.75" thickBot="1" x14ac:dyDescent="0.3">
      <c r="A4" s="2" t="s">
        <v>48</v>
      </c>
    </row>
    <row r="5" spans="1:12" ht="32.2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12" ht="15.75" thickBot="1" x14ac:dyDescent="0.3">
      <c r="A6" s="9">
        <v>2022</v>
      </c>
      <c r="B6" s="43">
        <v>1162</v>
      </c>
      <c r="C6" s="43">
        <v>489</v>
      </c>
      <c r="D6" s="43">
        <v>677</v>
      </c>
      <c r="E6" s="62">
        <v>3088531</v>
      </c>
      <c r="F6" s="63">
        <v>4348664</v>
      </c>
      <c r="G6">
        <f>E6+F6</f>
        <v>7437195</v>
      </c>
    </row>
    <row r="7" spans="1:12" ht="15.75" thickBot="1" x14ac:dyDescent="0.3">
      <c r="A7" s="9">
        <v>2023</v>
      </c>
      <c r="B7" s="43">
        <f>C7+D7</f>
        <v>1165</v>
      </c>
      <c r="C7" s="95">
        <f>6+6+3+2+1+1+89+2+4+370+2</f>
        <v>486</v>
      </c>
      <c r="D7" s="43">
        <f>30+29+12+23+34+12+8+4+50+8+10+3+454+2</f>
        <v>679</v>
      </c>
      <c r="E7" s="97">
        <f>44455+34798-9919+36000+23272+18456+9300+7855+725284+19248+30420+2546886-335333</f>
        <v>3150722</v>
      </c>
      <c r="F7" s="98">
        <f>285545+95202+179000+90000+156728+240000+71544+50700+32145+466716+50752+64580+20000+3185752-530000</f>
        <v>4458664</v>
      </c>
      <c r="G7">
        <f t="shared" ref="G7" si="0">E7+F7</f>
        <v>7609386</v>
      </c>
    </row>
    <row r="8" spans="1:12" ht="15.75" thickBot="1" x14ac:dyDescent="0.3">
      <c r="A8" s="23">
        <v>2024</v>
      </c>
      <c r="B8" s="43">
        <f>C8+D8</f>
        <v>1152</v>
      </c>
      <c r="C8" s="95">
        <f>7+10+6+1+2+1+93+6+5+451</f>
        <v>582</v>
      </c>
      <c r="D8" s="43">
        <f>31+25+8+18+33+3+12+7+4+52+14+9+354</f>
        <v>570</v>
      </c>
      <c r="E8" s="97">
        <f>55369+77792+54024+45142+7510+24851+16856+8123+822634+30199+33665+3390683+170934</f>
        <v>4737782</v>
      </c>
      <c r="F8" s="98">
        <f>295831+131933+152246+69944+131174+236154+20711+70441+44518+36048+498934+88232+56331+2851722+170933</f>
        <v>4855152</v>
      </c>
      <c r="G8">
        <f>E8+F8</f>
        <v>9592934</v>
      </c>
    </row>
    <row r="9" spans="1:12" ht="24" customHeight="1" thickBot="1" x14ac:dyDescent="0.3">
      <c r="A9" s="23" t="s">
        <v>70</v>
      </c>
      <c r="B9" s="43">
        <f>C9+D9</f>
        <v>1144</v>
      </c>
      <c r="C9" s="95">
        <v>587</v>
      </c>
      <c r="D9" s="43">
        <v>557</v>
      </c>
      <c r="E9" s="97">
        <f>4826338+90000</f>
        <v>4916338</v>
      </c>
      <c r="F9" s="98">
        <f>4900098+70688</f>
        <v>4970786</v>
      </c>
      <c r="G9">
        <f>E9+F9</f>
        <v>9887124</v>
      </c>
      <c r="H9">
        <v>9887124</v>
      </c>
      <c r="I9">
        <f>G9-H9</f>
        <v>0</v>
      </c>
      <c r="J9">
        <f>I9/2</f>
        <v>0</v>
      </c>
    </row>
    <row r="10" spans="1:12" ht="6" customHeight="1" x14ac:dyDescent="0.25">
      <c r="A10" s="2"/>
    </row>
    <row r="11" spans="1:12" ht="15.75" thickBot="1" x14ac:dyDescent="0.3">
      <c r="A11" s="2" t="s">
        <v>71</v>
      </c>
    </row>
    <row r="12" spans="1:12" ht="21.75" thickBot="1" x14ac:dyDescent="0.3">
      <c r="A12" s="6" t="s">
        <v>7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12</v>
      </c>
    </row>
    <row r="13" spans="1:12" ht="15.75" thickBot="1" x14ac:dyDescent="0.3">
      <c r="A13" s="5" t="s">
        <v>13</v>
      </c>
      <c r="B13" s="44">
        <f>C13+E13</f>
        <v>0</v>
      </c>
      <c r="C13" s="44"/>
      <c r="D13" s="44"/>
      <c r="E13" s="44"/>
      <c r="F13" s="44"/>
      <c r="K13">
        <f>D13/68/12</f>
        <v>0</v>
      </c>
      <c r="L13">
        <f>F13/4/12</f>
        <v>0</v>
      </c>
    </row>
    <row r="14" spans="1:12" ht="25.5" customHeight="1" thickBot="1" x14ac:dyDescent="0.3">
      <c r="A14" s="5" t="s">
        <v>14</v>
      </c>
      <c r="B14" s="44">
        <f>C14+E14</f>
        <v>270</v>
      </c>
      <c r="C14" s="54">
        <f>7+20+2+1+5+20+1+11+6+1+9+20+2+2+52+3</f>
        <v>162</v>
      </c>
      <c r="D14" s="54">
        <f>735001+20000+11746+10137+282462+214000</f>
        <v>1273346</v>
      </c>
      <c r="E14" s="54">
        <f>49+1+21+31+3+3</f>
        <v>108</v>
      </c>
      <c r="F14" s="54">
        <f>302262+5289+134828+180722+15000</f>
        <v>638101</v>
      </c>
      <c r="I14">
        <v>20</v>
      </c>
      <c r="K14">
        <f>D14/269/12</f>
        <v>394.46902106567535</v>
      </c>
      <c r="L14">
        <f>F14/270/12</f>
        <v>196.94475308641975</v>
      </c>
    </row>
    <row r="15" spans="1:12" ht="15.75" thickBot="1" x14ac:dyDescent="0.3">
      <c r="A15" s="21" t="s">
        <v>15</v>
      </c>
      <c r="B15" s="45">
        <f>C15+E15</f>
        <v>874</v>
      </c>
      <c r="C15" s="58">
        <f>395</f>
        <v>395</v>
      </c>
      <c r="D15" s="58">
        <f>3598125+3681+24946+70884-196</f>
        <v>3697440</v>
      </c>
      <c r="E15" s="58">
        <v>479</v>
      </c>
      <c r="F15" s="58">
        <f>3905090+212666+606-3681+73556+90000</f>
        <v>4278237</v>
      </c>
      <c r="K15">
        <f>D15/340/12</f>
        <v>906.23529411764696</v>
      </c>
      <c r="L15">
        <f>F15/211/12</f>
        <v>1689.6670616113743</v>
      </c>
    </row>
    <row r="16" spans="1:12" ht="15.75" thickBot="1" x14ac:dyDescent="0.3">
      <c r="A16" s="59" t="s">
        <v>61</v>
      </c>
      <c r="B16" s="60">
        <f>C16+E16</f>
        <v>1144</v>
      </c>
      <c r="C16" s="60">
        <f>SUM(C13:C15)</f>
        <v>557</v>
      </c>
      <c r="D16" s="60">
        <f>SUM(D13:D15)</f>
        <v>4970786</v>
      </c>
      <c r="E16" s="96">
        <f>E14+E15</f>
        <v>587</v>
      </c>
      <c r="F16" s="61">
        <f>SUM(F13:F15)</f>
        <v>4916338</v>
      </c>
      <c r="G16" s="83">
        <f>G9</f>
        <v>9887124</v>
      </c>
      <c r="H16">
        <f>H9</f>
        <v>9887124</v>
      </c>
      <c r="I16">
        <f>G16-H16</f>
        <v>0</v>
      </c>
      <c r="J16">
        <f>I16/2</f>
        <v>0</v>
      </c>
    </row>
    <row r="17" spans="1:10" ht="9" customHeight="1" x14ac:dyDescent="0.25">
      <c r="A17" s="2"/>
    </row>
    <row r="18" spans="1:10" ht="15.75" thickBot="1" x14ac:dyDescent="0.3">
      <c r="A18" s="2" t="s">
        <v>49</v>
      </c>
      <c r="G18" s="27"/>
      <c r="H18">
        <f>F16-E9</f>
        <v>0</v>
      </c>
      <c r="I18">
        <f>F9-D16</f>
        <v>0</v>
      </c>
      <c r="J18">
        <f>E9-F16</f>
        <v>0</v>
      </c>
    </row>
    <row r="19" spans="1:10" ht="39" thickBot="1" x14ac:dyDescent="0.3">
      <c r="A19" s="3" t="s">
        <v>16</v>
      </c>
      <c r="B19" s="8" t="s">
        <v>17</v>
      </c>
      <c r="C19" s="70" t="s">
        <v>18</v>
      </c>
      <c r="D19" s="70" t="s">
        <v>19</v>
      </c>
      <c r="E19" s="70" t="s">
        <v>20</v>
      </c>
      <c r="F19" s="8" t="s">
        <v>21</v>
      </c>
      <c r="G19" s="3" t="s">
        <v>22</v>
      </c>
    </row>
    <row r="20" spans="1:10" ht="15.75" thickBot="1" x14ac:dyDescent="0.3">
      <c r="A20" s="9">
        <v>2022</v>
      </c>
      <c r="B20" s="67">
        <f t="shared" ref="B20:B22" si="1">F20+G20</f>
        <v>197712</v>
      </c>
      <c r="C20" s="57">
        <f>E20+D20</f>
        <v>405</v>
      </c>
      <c r="D20" s="43">
        <f>185</f>
        <v>185</v>
      </c>
      <c r="E20" s="51">
        <v>220</v>
      </c>
      <c r="F20" s="35">
        <v>96000</v>
      </c>
      <c r="G20" s="44">
        <v>101712</v>
      </c>
    </row>
    <row r="21" spans="1:10" ht="15.75" thickBot="1" x14ac:dyDescent="0.3">
      <c r="A21" s="9">
        <v>2023</v>
      </c>
      <c r="B21" s="43">
        <f t="shared" si="1"/>
        <v>570000</v>
      </c>
      <c r="C21" s="72">
        <f>E21+D21</f>
        <v>800</v>
      </c>
      <c r="D21" s="66">
        <f>400</f>
        <v>400</v>
      </c>
      <c r="E21" s="66">
        <v>400</v>
      </c>
      <c r="F21" s="69">
        <v>285000</v>
      </c>
      <c r="G21" s="35">
        <v>285000</v>
      </c>
    </row>
    <row r="22" spans="1:10" ht="15.75" thickBot="1" x14ac:dyDescent="0.3">
      <c r="A22" s="9">
        <v>2024</v>
      </c>
      <c r="B22" s="43">
        <f t="shared" si="1"/>
        <v>570000</v>
      </c>
      <c r="C22" s="72">
        <f>E22+D22</f>
        <v>800</v>
      </c>
      <c r="D22" s="66">
        <v>400</v>
      </c>
      <c r="E22" s="66">
        <v>400</v>
      </c>
      <c r="F22" s="69">
        <v>285000</v>
      </c>
      <c r="G22" s="35">
        <v>285000</v>
      </c>
    </row>
    <row r="23" spans="1:10" ht="22.5" customHeight="1" thickBot="1" x14ac:dyDescent="0.3">
      <c r="A23" s="23" t="s">
        <v>70</v>
      </c>
      <c r="B23" s="43">
        <f t="shared" ref="B23" si="2">F23+G23</f>
        <v>580000</v>
      </c>
      <c r="C23" s="72">
        <f>E23+D23</f>
        <v>800</v>
      </c>
      <c r="D23" s="66">
        <v>400</v>
      </c>
      <c r="E23" s="66">
        <v>400</v>
      </c>
      <c r="F23" s="69">
        <v>290000</v>
      </c>
      <c r="G23" s="35">
        <v>290000</v>
      </c>
    </row>
    <row r="24" spans="1:10" ht="9.75" customHeight="1" x14ac:dyDescent="0.25">
      <c r="A24" s="16"/>
    </row>
    <row r="25" spans="1:10" ht="15.75" x14ac:dyDescent="0.25">
      <c r="A25" s="42" t="s">
        <v>18</v>
      </c>
      <c r="B25" s="11"/>
      <c r="C25" s="11"/>
      <c r="E25" s="41" t="s">
        <v>44</v>
      </c>
      <c r="F25" s="11"/>
      <c r="G25" s="11" t="s">
        <v>38</v>
      </c>
    </row>
    <row r="26" spans="1:10" ht="45" x14ac:dyDescent="0.25">
      <c r="A26" s="11" t="s">
        <v>40</v>
      </c>
      <c r="B26" s="99" t="s">
        <v>68</v>
      </c>
      <c r="C26" s="11" t="s">
        <v>38</v>
      </c>
      <c r="D26" s="14"/>
      <c r="E26" s="11" t="s">
        <v>40</v>
      </c>
      <c r="F26" s="99" t="s">
        <v>60</v>
      </c>
      <c r="G26" s="13"/>
    </row>
    <row r="27" spans="1:10" x14ac:dyDescent="0.25">
      <c r="A27" s="12" t="s">
        <v>42</v>
      </c>
      <c r="B27" s="11">
        <f>C16</f>
        <v>557</v>
      </c>
      <c r="C27" s="13">
        <f>B27*100/B29</f>
        <v>48.688811188811187</v>
      </c>
      <c r="D27" s="15"/>
      <c r="E27" s="12" t="s">
        <v>42</v>
      </c>
      <c r="F27" s="11">
        <f>D16</f>
        <v>4970786</v>
      </c>
      <c r="G27" s="13">
        <f>F27*100/F29</f>
        <v>50.275348018291261</v>
      </c>
    </row>
    <row r="28" spans="1:10" ht="15" customHeight="1" x14ac:dyDescent="0.25">
      <c r="A28" s="12" t="s">
        <v>43</v>
      </c>
      <c r="B28" s="11">
        <f>E16</f>
        <v>587</v>
      </c>
      <c r="C28" s="13">
        <f>B28*100/B29</f>
        <v>51.311188811188813</v>
      </c>
      <c r="D28" s="15"/>
      <c r="E28" s="12" t="s">
        <v>43</v>
      </c>
      <c r="F28" s="11">
        <f>F16</f>
        <v>4916338</v>
      </c>
      <c r="G28" s="13">
        <f>F28*100/F29</f>
        <v>49.724651981708739</v>
      </c>
    </row>
    <row r="29" spans="1:10" ht="20.25" customHeight="1" x14ac:dyDescent="0.25">
      <c r="A29" s="11" t="s">
        <v>39</v>
      </c>
      <c r="B29" s="11">
        <f>SUM(B27:B28)</f>
        <v>1144</v>
      </c>
      <c r="C29" s="13">
        <f>C28+C27</f>
        <v>100</v>
      </c>
      <c r="D29" s="15"/>
      <c r="E29" s="11" t="s">
        <v>39</v>
      </c>
      <c r="F29" s="11">
        <f>SUM(F27:F28)</f>
        <v>9887124</v>
      </c>
      <c r="G29" s="13">
        <f>+G28+G27</f>
        <v>100</v>
      </c>
    </row>
    <row r="30" spans="1:10" ht="20.25" customHeight="1" x14ac:dyDescent="0.25">
      <c r="A30" s="14"/>
      <c r="B30" s="14"/>
      <c r="C30" s="15"/>
      <c r="D30" s="15"/>
      <c r="E30" s="14"/>
      <c r="F30" s="14"/>
      <c r="G30" s="15"/>
    </row>
    <row r="31" spans="1:10" ht="20.25" customHeight="1" x14ac:dyDescent="0.25">
      <c r="A31" s="14"/>
      <c r="B31" s="14"/>
      <c r="C31" s="15"/>
      <c r="D31" s="15"/>
      <c r="E31" s="14"/>
      <c r="F31" s="14"/>
      <c r="G31" s="15"/>
    </row>
    <row r="32" spans="1:10" ht="20.25" customHeight="1" x14ac:dyDescent="0.25">
      <c r="A32" s="14"/>
      <c r="B32" s="14"/>
      <c r="C32" s="15"/>
      <c r="D32" s="15"/>
      <c r="E32" s="14"/>
      <c r="F32" s="14"/>
      <c r="G32" s="15"/>
    </row>
    <row r="33" spans="1:7" ht="20.25" customHeight="1" x14ac:dyDescent="0.25">
      <c r="A33" s="14"/>
      <c r="B33" s="14"/>
      <c r="C33" s="15"/>
      <c r="D33" s="15"/>
      <c r="E33" s="14"/>
      <c r="F33" s="14"/>
      <c r="G33" s="15"/>
    </row>
    <row r="34" spans="1:7" ht="20.25" customHeight="1" x14ac:dyDescent="0.25">
      <c r="A34" s="14"/>
      <c r="B34" s="14"/>
      <c r="C34" s="15"/>
      <c r="D34" s="15"/>
      <c r="E34" s="14"/>
      <c r="F34" s="14"/>
      <c r="G34" s="15"/>
    </row>
    <row r="35" spans="1:7" ht="20.25" customHeight="1" x14ac:dyDescent="0.25">
      <c r="A35" s="14"/>
      <c r="B35" s="14"/>
      <c r="C35" s="15"/>
      <c r="D35" s="15"/>
      <c r="E35" s="14"/>
      <c r="F35" s="14"/>
      <c r="G35" s="15"/>
    </row>
    <row r="36" spans="1:7" ht="20.25" customHeight="1" x14ac:dyDescent="0.25">
      <c r="A36" s="14"/>
      <c r="B36" s="14"/>
      <c r="C36" s="15"/>
      <c r="D36" s="15"/>
      <c r="E36" s="14"/>
      <c r="F36" s="14"/>
      <c r="G36" s="15"/>
    </row>
    <row r="37" spans="1:7" ht="20.25" customHeight="1" x14ac:dyDescent="0.25">
      <c r="A37" s="14"/>
      <c r="B37" s="14"/>
      <c r="C37" s="15"/>
      <c r="D37" s="15"/>
      <c r="E37" s="14"/>
      <c r="F37" s="14"/>
      <c r="G37" s="15"/>
    </row>
    <row r="38" spans="1:7" ht="20.25" customHeight="1" x14ac:dyDescent="0.25">
      <c r="A38" s="14"/>
      <c r="B38" s="14"/>
      <c r="C38" s="15"/>
      <c r="D38" s="15"/>
      <c r="E38" s="14"/>
      <c r="F38" s="14"/>
      <c r="G38" s="15"/>
    </row>
    <row r="39" spans="1:7" ht="20.25" customHeight="1" x14ac:dyDescent="0.25">
      <c r="A39" s="14"/>
      <c r="B39" s="14"/>
      <c r="C39" s="15"/>
      <c r="D39" s="15"/>
      <c r="E39" s="14"/>
      <c r="F39" s="14"/>
      <c r="G39" s="15"/>
    </row>
    <row r="40" spans="1:7" ht="17.25" customHeight="1" x14ac:dyDescent="0.25">
      <c r="D40" s="14"/>
    </row>
    <row r="42" spans="1:7" x14ac:dyDescent="0.25">
      <c r="A42" s="16" t="s">
        <v>46</v>
      </c>
    </row>
    <row r="43" spans="1:7" x14ac:dyDescent="0.25">
      <c r="A43" s="11" t="s">
        <v>40</v>
      </c>
      <c r="B43" s="11" t="s">
        <v>45</v>
      </c>
      <c r="C43" s="11" t="s">
        <v>38</v>
      </c>
    </row>
    <row r="44" spans="1:7" x14ac:dyDescent="0.25">
      <c r="A44" s="12" t="s">
        <v>42</v>
      </c>
      <c r="B44" s="11">
        <f>G23</f>
        <v>290000</v>
      </c>
      <c r="C44" s="13">
        <f>B44*100/B47</f>
        <v>50</v>
      </c>
    </row>
    <row r="45" spans="1:7" x14ac:dyDescent="0.25">
      <c r="A45" s="12" t="s">
        <v>43</v>
      </c>
      <c r="B45" s="11">
        <f>F23</f>
        <v>290000</v>
      </c>
      <c r="C45" s="13">
        <f>B45*100/B47</f>
        <v>50</v>
      </c>
    </row>
    <row r="46" spans="1:7" x14ac:dyDescent="0.25">
      <c r="A46" s="17"/>
      <c r="B46" s="18"/>
      <c r="C46" s="19"/>
    </row>
    <row r="47" spans="1:7" x14ac:dyDescent="0.25">
      <c r="A47" s="11" t="s">
        <v>39</v>
      </c>
      <c r="B47" s="11">
        <f>SUM(B44:B46)</f>
        <v>580000</v>
      </c>
      <c r="C47" s="13">
        <f>C46+C45+C44</f>
        <v>100</v>
      </c>
    </row>
    <row r="60" spans="1:6" ht="15.75" thickBot="1" x14ac:dyDescent="0.3">
      <c r="A60" s="2" t="s">
        <v>63</v>
      </c>
    </row>
    <row r="61" spans="1:6" ht="21.75" thickBot="1" x14ac:dyDescent="0.3">
      <c r="A61" s="6" t="s">
        <v>7</v>
      </c>
      <c r="B61" s="4" t="s">
        <v>8</v>
      </c>
      <c r="C61" s="4" t="s">
        <v>9</v>
      </c>
      <c r="D61" s="4" t="s">
        <v>10</v>
      </c>
      <c r="E61" s="4" t="s">
        <v>11</v>
      </c>
      <c r="F61" s="4" t="s">
        <v>12</v>
      </c>
    </row>
    <row r="62" spans="1:6" ht="146.25" customHeight="1" thickBot="1" x14ac:dyDescent="0.3">
      <c r="A62" s="5" t="s">
        <v>13</v>
      </c>
      <c r="B62" s="44">
        <f>C62+E62</f>
        <v>130</v>
      </c>
      <c r="C62" s="44">
        <f>4+16+8+1+8+2+3+62</f>
        <v>104</v>
      </c>
      <c r="D62" s="44">
        <f>14168+53180+35237+4505+32164+8776+13831+226564</f>
        <v>388425</v>
      </c>
      <c r="E62" s="44">
        <f>1+10+2+13</f>
        <v>26</v>
      </c>
      <c r="F62" s="44">
        <f>4108+31300+9295+37883</f>
        <v>82586</v>
      </c>
    </row>
    <row r="63" spans="1:6" ht="125.25" customHeight="1" thickBot="1" x14ac:dyDescent="0.3">
      <c r="A63" s="5" t="s">
        <v>14</v>
      </c>
      <c r="B63" s="44">
        <f>C63+E63</f>
        <v>909</v>
      </c>
      <c r="C63" s="54">
        <f>14+22+12+21+28+4+8+4+8+7+326+31</f>
        <v>485</v>
      </c>
      <c r="D63" s="54">
        <f>79947+124985+76979+126949+170748+21765+44954+25242+49907+41244+2085893+195397</f>
        <v>3044010</v>
      </c>
      <c r="E63" s="54">
        <f>5+3+5+2+1+1+2+335+70</f>
        <v>424</v>
      </c>
      <c r="F63" s="54">
        <f>24267+26999+19355+12799+6600+6273+11034+2028163+441932+5</f>
        <v>2577427</v>
      </c>
    </row>
    <row r="64" spans="1:6" ht="127.5" customHeight="1" thickBot="1" x14ac:dyDescent="0.3">
      <c r="A64" s="21" t="s">
        <v>15</v>
      </c>
      <c r="B64" s="45">
        <f>C64+E64</f>
        <v>141</v>
      </c>
      <c r="C64" s="58">
        <f>12+1+2+3+3+61+21</f>
        <v>103</v>
      </c>
      <c r="D64" s="58">
        <f>159474+7820+15501+23826+16607+467459+211832</f>
        <v>902519</v>
      </c>
      <c r="E64" s="58">
        <f>21+17</f>
        <v>38</v>
      </c>
      <c r="F64" s="58">
        <f>154697+159887</f>
        <v>314584</v>
      </c>
    </row>
    <row r="65" spans="1:7" ht="126" customHeight="1" thickBot="1" x14ac:dyDescent="0.3">
      <c r="A65" s="59" t="s">
        <v>61</v>
      </c>
      <c r="B65" s="60">
        <f>B62++B63+B64</f>
        <v>1180</v>
      </c>
      <c r="C65" s="60">
        <f>SUM(C62:C64)</f>
        <v>692</v>
      </c>
      <c r="D65" s="60">
        <f>SUM(D62:D64)</f>
        <v>4334954</v>
      </c>
      <c r="E65" s="60">
        <f>SUM(E62:E64)</f>
        <v>488</v>
      </c>
      <c r="F65" s="61">
        <f>SUM(F62:F64)</f>
        <v>2974597</v>
      </c>
      <c r="G65" s="83">
        <f>F65+D65</f>
        <v>7309551</v>
      </c>
    </row>
    <row r="66" spans="1:7" x14ac:dyDescent="0.25">
      <c r="A66" s="2"/>
    </row>
    <row r="67" spans="1:7" ht="15.75" thickBot="1" x14ac:dyDescent="0.3">
      <c r="A67" s="2" t="s">
        <v>49</v>
      </c>
      <c r="G67" s="27"/>
    </row>
    <row r="68" spans="1:7" ht="39" thickBot="1" x14ac:dyDescent="0.3">
      <c r="A68" s="3" t="s">
        <v>16</v>
      </c>
      <c r="B68" s="8" t="s">
        <v>17</v>
      </c>
      <c r="C68" s="70" t="s">
        <v>18</v>
      </c>
      <c r="D68" s="70" t="s">
        <v>19</v>
      </c>
      <c r="E68" s="70" t="s">
        <v>20</v>
      </c>
      <c r="F68" s="8" t="s">
        <v>21</v>
      </c>
      <c r="G68" s="3" t="s">
        <v>22</v>
      </c>
    </row>
    <row r="69" spans="1:7" ht="135.75" customHeight="1" thickBot="1" x14ac:dyDescent="0.3">
      <c r="A69" s="56">
        <v>2016</v>
      </c>
      <c r="B69" s="67">
        <v>213000</v>
      </c>
      <c r="C69" s="43">
        <f>D69+E69</f>
        <v>390</v>
      </c>
      <c r="D69" s="71">
        <v>170</v>
      </c>
      <c r="E69" s="43">
        <v>220</v>
      </c>
      <c r="F69" s="44">
        <v>85000</v>
      </c>
      <c r="G69" s="44">
        <v>146500</v>
      </c>
    </row>
    <row r="70" spans="1:7" ht="137.25" customHeight="1" thickBot="1" x14ac:dyDescent="0.3">
      <c r="A70" s="55">
        <v>2017</v>
      </c>
      <c r="B70" s="64">
        <v>197712</v>
      </c>
      <c r="C70" s="43">
        <f>D70+E70</f>
        <v>405</v>
      </c>
      <c r="D70" s="43">
        <f>185</f>
        <v>185</v>
      </c>
      <c r="E70" s="43">
        <v>220</v>
      </c>
      <c r="F70" s="45">
        <v>86000</v>
      </c>
      <c r="G70" s="44">
        <v>111712</v>
      </c>
    </row>
    <row r="71" spans="1:7" ht="132.75" customHeight="1" thickBot="1" x14ac:dyDescent="0.3">
      <c r="A71" s="32">
        <v>2018</v>
      </c>
      <c r="B71" s="65">
        <v>197712</v>
      </c>
      <c r="C71" s="57">
        <f>E71+D71</f>
        <v>405</v>
      </c>
      <c r="D71" s="43">
        <f>185</f>
        <v>185</v>
      </c>
      <c r="E71" s="51">
        <v>220</v>
      </c>
      <c r="F71" s="35"/>
      <c r="G71" s="44">
        <v>111712</v>
      </c>
    </row>
    <row r="72" spans="1:7" ht="140.25" customHeight="1" thickBot="1" x14ac:dyDescent="0.3">
      <c r="A72" s="32" t="s">
        <v>62</v>
      </c>
      <c r="B72" s="68">
        <v>197712</v>
      </c>
      <c r="C72" s="35">
        <f t="shared" ref="C72:F72" si="3">SUM(C69:C71)</f>
        <v>1200</v>
      </c>
      <c r="D72" s="35">
        <f t="shared" si="3"/>
        <v>540</v>
      </c>
      <c r="E72" s="35">
        <f t="shared" si="3"/>
        <v>660</v>
      </c>
      <c r="F72" s="35">
        <f t="shared" si="3"/>
        <v>171000</v>
      </c>
      <c r="G72" s="35">
        <f>SUM(G69:G71)</f>
        <v>369924</v>
      </c>
    </row>
  </sheetData>
  <mergeCells count="2">
    <mergeCell ref="A2:G2"/>
    <mergeCell ref="A3:F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workbookViewId="0">
      <selection activeCell="G30" sqref="A1:G30"/>
    </sheetView>
  </sheetViews>
  <sheetFormatPr defaultRowHeight="15" x14ac:dyDescent="0.25"/>
  <cols>
    <col min="2" max="2" width="12.7109375" customWidth="1"/>
    <col min="3" max="3" width="11.42578125" customWidth="1"/>
    <col min="4" max="4" width="11.28515625" customWidth="1"/>
    <col min="5" max="5" width="11.7109375" customWidth="1"/>
    <col min="6" max="6" width="11.5703125" customWidth="1"/>
    <col min="7" max="7" width="11.7109375" customWidth="1"/>
  </cols>
  <sheetData>
    <row r="1" spans="1:9" ht="96.75" customHeight="1" x14ac:dyDescent="0.25">
      <c r="A1" s="1" t="s">
        <v>58</v>
      </c>
      <c r="B1" s="1"/>
    </row>
    <row r="2" spans="1:9" ht="15.75" x14ac:dyDescent="0.25">
      <c r="A2" s="1" t="s">
        <v>33</v>
      </c>
    </row>
    <row r="3" spans="1:9" ht="15.75" thickBot="1" x14ac:dyDescent="0.3">
      <c r="A3" s="2" t="s">
        <v>48</v>
      </c>
    </row>
    <row r="4" spans="1:9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9" ht="16.5" thickBot="1" x14ac:dyDescent="0.3">
      <c r="A5" s="9">
        <v>2020</v>
      </c>
      <c r="B5" s="79">
        <v>5</v>
      </c>
      <c r="C5" s="35">
        <v>1</v>
      </c>
      <c r="D5" s="35">
        <v>4</v>
      </c>
      <c r="E5" s="35">
        <v>6273</v>
      </c>
      <c r="F5" s="35">
        <f>25281-39</f>
        <v>25242</v>
      </c>
      <c r="G5">
        <f>E5+F5</f>
        <v>31515</v>
      </c>
      <c r="H5" s="82"/>
      <c r="I5">
        <f>H5-G5</f>
        <v>-31515</v>
      </c>
    </row>
    <row r="6" spans="1:9" ht="16.5" thickBot="1" x14ac:dyDescent="0.3">
      <c r="A6" s="9">
        <v>2021</v>
      </c>
      <c r="B6" s="80">
        <v>5</v>
      </c>
      <c r="C6" s="35">
        <v>1</v>
      </c>
      <c r="D6" s="35">
        <v>4</v>
      </c>
      <c r="E6" s="35">
        <v>6273</v>
      </c>
      <c r="F6" s="35">
        <v>32145</v>
      </c>
      <c r="G6">
        <f t="shared" ref="G6:G8" si="0">E6+F6</f>
        <v>38418</v>
      </c>
      <c r="H6" s="82"/>
      <c r="I6">
        <f>H6-G6</f>
        <v>-38418</v>
      </c>
    </row>
    <row r="7" spans="1:9" ht="15.75" thickBot="1" x14ac:dyDescent="0.3">
      <c r="A7" s="9">
        <v>2022</v>
      </c>
      <c r="B7" s="35">
        <v>5</v>
      </c>
      <c r="C7" s="35">
        <v>1</v>
      </c>
      <c r="D7" s="35">
        <v>4</v>
      </c>
      <c r="E7" s="35">
        <v>6273</v>
      </c>
      <c r="F7" s="35">
        <f>25281-39</f>
        <v>25242</v>
      </c>
      <c r="G7">
        <f t="shared" si="0"/>
        <v>31515</v>
      </c>
      <c r="I7">
        <f>H7-G7</f>
        <v>-31515</v>
      </c>
    </row>
    <row r="8" spans="1:9" ht="32.25" thickBot="1" x14ac:dyDescent="0.3">
      <c r="A8" s="23" t="s">
        <v>66</v>
      </c>
      <c r="B8" s="35">
        <v>5</v>
      </c>
      <c r="C8" s="35">
        <v>1</v>
      </c>
      <c r="D8" s="35">
        <v>4</v>
      </c>
      <c r="E8" s="35">
        <v>6376</v>
      </c>
      <c r="F8" s="35">
        <f>32145-6393-38</f>
        <v>25714</v>
      </c>
      <c r="G8">
        <f t="shared" si="0"/>
        <v>32090</v>
      </c>
      <c r="H8">
        <v>32090</v>
      </c>
      <c r="I8">
        <f>H8-G8</f>
        <v>0</v>
      </c>
    </row>
    <row r="9" spans="1:9" x14ac:dyDescent="0.25">
      <c r="A9" s="25"/>
      <c r="B9" s="14"/>
      <c r="C9" s="14"/>
      <c r="D9" s="14"/>
      <c r="E9" s="14"/>
      <c r="F9" s="14"/>
      <c r="G9" s="33"/>
    </row>
    <row r="10" spans="1:9" ht="15.75" thickBot="1" x14ac:dyDescent="0.3">
      <c r="A10" s="2" t="s">
        <v>67</v>
      </c>
    </row>
    <row r="11" spans="1:9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</row>
    <row r="12" spans="1:9" ht="15.75" thickBot="1" x14ac:dyDescent="0.3">
      <c r="A12" s="5" t="s">
        <v>13</v>
      </c>
      <c r="B12" s="7"/>
      <c r="C12" s="7"/>
      <c r="D12" s="7"/>
      <c r="E12" s="7"/>
      <c r="F12" s="7"/>
    </row>
    <row r="13" spans="1:9" ht="15.75" thickBot="1" x14ac:dyDescent="0.3">
      <c r="A13" s="5" t="s">
        <v>14</v>
      </c>
      <c r="B13" s="7">
        <f>C13+E13</f>
        <v>5</v>
      </c>
      <c r="C13" s="7">
        <v>4</v>
      </c>
      <c r="D13" s="7">
        <v>25714</v>
      </c>
      <c r="E13" s="7">
        <v>1</v>
      </c>
      <c r="F13" s="7">
        <v>6376</v>
      </c>
      <c r="G13">
        <f>D13+F13</f>
        <v>32090</v>
      </c>
    </row>
    <row r="14" spans="1:9" ht="15.75" thickBot="1" x14ac:dyDescent="0.3">
      <c r="A14" s="5" t="s">
        <v>15</v>
      </c>
      <c r="B14" s="7">
        <f>C14+E14</f>
        <v>0</v>
      </c>
      <c r="C14" s="7"/>
      <c r="D14" s="7"/>
      <c r="E14" s="7"/>
      <c r="F14" s="7"/>
    </row>
    <row r="15" spans="1:9" x14ac:dyDescent="0.25">
      <c r="A15" s="2"/>
      <c r="D15">
        <f>SUM(D13:D14)</f>
        <v>25714</v>
      </c>
      <c r="F15">
        <f>SUM(F13:F14)</f>
        <v>6376</v>
      </c>
      <c r="G15">
        <f>D15+F15</f>
        <v>32090</v>
      </c>
    </row>
    <row r="16" spans="1:9" ht="15.75" thickBot="1" x14ac:dyDescent="0.3">
      <c r="A16" s="2" t="s">
        <v>49</v>
      </c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7"/>
      <c r="C18" s="7"/>
      <c r="D18" s="7"/>
      <c r="E18" s="7"/>
      <c r="F18" s="7"/>
      <c r="G18" s="7"/>
    </row>
    <row r="19" spans="1:7" ht="15.75" thickBot="1" x14ac:dyDescent="0.3">
      <c r="A19" s="9">
        <v>2021</v>
      </c>
      <c r="B19" s="7"/>
      <c r="C19" s="7"/>
      <c r="D19" s="7"/>
      <c r="E19" s="7"/>
      <c r="F19" s="7"/>
      <c r="G19" s="7"/>
    </row>
    <row r="20" spans="1:7" ht="15.75" thickBot="1" x14ac:dyDescent="0.3">
      <c r="A20" s="9">
        <v>2022</v>
      </c>
      <c r="B20" s="28"/>
      <c r="C20" s="28"/>
      <c r="D20" s="28"/>
      <c r="E20" s="28"/>
      <c r="F20" s="28"/>
      <c r="G20" s="28"/>
    </row>
    <row r="21" spans="1:7" ht="32.25" thickBot="1" x14ac:dyDescent="0.3">
      <c r="A21" s="23" t="s">
        <v>66</v>
      </c>
      <c r="B21" s="35"/>
      <c r="C21" s="35"/>
      <c r="D21" s="35"/>
      <c r="E21" s="35"/>
      <c r="F21" s="35"/>
      <c r="G21" s="35"/>
    </row>
    <row r="22" spans="1:7" x14ac:dyDescent="0.25">
      <c r="A22" s="25"/>
      <c r="B22" s="14"/>
      <c r="C22" s="14"/>
      <c r="D22" s="14"/>
      <c r="E22" s="14"/>
      <c r="F22" s="14"/>
      <c r="G22" s="14"/>
    </row>
    <row r="23" spans="1:7" ht="15.75" x14ac:dyDescent="0.25">
      <c r="A23" s="16" t="s">
        <v>18</v>
      </c>
      <c r="E23" s="1" t="s">
        <v>44</v>
      </c>
    </row>
    <row r="24" spans="1:7" x14ac:dyDescent="0.25">
      <c r="A24" s="11" t="s">
        <v>40</v>
      </c>
      <c r="B24" s="11" t="s">
        <v>45</v>
      </c>
      <c r="C24" s="11" t="s">
        <v>38</v>
      </c>
      <c r="D24" s="14"/>
      <c r="E24" s="11" t="s">
        <v>40</v>
      </c>
      <c r="F24" s="11" t="s">
        <v>57</v>
      </c>
      <c r="G24" s="11" t="s">
        <v>38</v>
      </c>
    </row>
    <row r="25" spans="1:7" x14ac:dyDescent="0.25">
      <c r="A25" s="12" t="s">
        <v>42</v>
      </c>
      <c r="B25" s="11">
        <v>4</v>
      </c>
      <c r="C25" s="13">
        <f>B25*100/B28</f>
        <v>80</v>
      </c>
      <c r="D25" s="15"/>
      <c r="E25" s="12" t="s">
        <v>42</v>
      </c>
      <c r="F25" s="11">
        <f>D15</f>
        <v>25714</v>
      </c>
      <c r="G25" s="13">
        <f>F25*100/F28</f>
        <v>80.130881894671234</v>
      </c>
    </row>
    <row r="26" spans="1:7" x14ac:dyDescent="0.25">
      <c r="A26" s="12" t="s">
        <v>43</v>
      </c>
      <c r="B26" s="11">
        <v>1</v>
      </c>
      <c r="C26" s="13">
        <f>B26*100/B28</f>
        <v>20</v>
      </c>
      <c r="D26" s="15"/>
      <c r="E26" s="12" t="s">
        <v>43</v>
      </c>
      <c r="F26" s="11">
        <f>F15</f>
        <v>6376</v>
      </c>
      <c r="G26" s="13">
        <f>F26*100/F28</f>
        <v>19.869118105328763</v>
      </c>
    </row>
    <row r="27" spans="1:7" x14ac:dyDescent="0.25">
      <c r="A27" s="17"/>
      <c r="B27" s="18"/>
      <c r="C27" s="19"/>
      <c r="D27" s="20"/>
      <c r="E27" s="17"/>
      <c r="F27" s="18"/>
      <c r="G27" s="19"/>
    </row>
    <row r="28" spans="1:7" x14ac:dyDescent="0.25">
      <c r="A28" s="11" t="s">
        <v>39</v>
      </c>
      <c r="B28" s="11">
        <f>SUM(B25:B27)</f>
        <v>5</v>
      </c>
      <c r="C28" s="13">
        <f>C27+C26+C25</f>
        <v>100</v>
      </c>
      <c r="D28" s="15"/>
      <c r="E28" s="11" t="s">
        <v>39</v>
      </c>
      <c r="F28" s="11">
        <f>SUM(F25:F27)</f>
        <v>32090</v>
      </c>
      <c r="G28" s="13">
        <f>G27+G26+G25</f>
        <v>100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zoomScale="166" zoomScaleNormal="166" workbookViewId="0">
      <selection activeCell="G30" sqref="A1:G30"/>
    </sheetView>
  </sheetViews>
  <sheetFormatPr defaultRowHeight="15" x14ac:dyDescent="0.25"/>
  <cols>
    <col min="2" max="2" width="9.7109375" customWidth="1"/>
    <col min="3" max="3" width="12.5703125" customWidth="1"/>
    <col min="4" max="4" width="13.42578125" customWidth="1"/>
    <col min="5" max="5" width="13" customWidth="1"/>
    <col min="6" max="6" width="12.7109375" customWidth="1"/>
    <col min="7" max="7" width="15.28515625" customWidth="1"/>
    <col min="13" max="13" width="9.7109375" bestFit="1" customWidth="1"/>
  </cols>
  <sheetData>
    <row r="1" spans="1:13" ht="94.5" customHeight="1" x14ac:dyDescent="0.25">
      <c r="A1" s="1" t="s">
        <v>58</v>
      </c>
      <c r="B1" s="1"/>
    </row>
    <row r="2" spans="1:13" ht="15.75" x14ac:dyDescent="0.25">
      <c r="A2" s="1" t="s">
        <v>34</v>
      </c>
      <c r="M2">
        <v>641172</v>
      </c>
    </row>
    <row r="3" spans="1:13" ht="15.75" thickBot="1" x14ac:dyDescent="0.3">
      <c r="A3" s="2" t="s">
        <v>48</v>
      </c>
      <c r="M3">
        <v>352884</v>
      </c>
    </row>
    <row r="4" spans="1:13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M4">
        <f>SUM(M2:M3)</f>
        <v>994056</v>
      </c>
    </row>
    <row r="5" spans="1:13" ht="15.75" thickBot="1" x14ac:dyDescent="0.3">
      <c r="A5" s="9">
        <v>2020</v>
      </c>
      <c r="B5" s="43">
        <f>C5+D5</f>
        <v>139</v>
      </c>
      <c r="C5" s="43">
        <v>89</v>
      </c>
      <c r="D5" s="43">
        <v>50</v>
      </c>
      <c r="E5" s="43">
        <f>725592-308</f>
        <v>725284</v>
      </c>
      <c r="F5" s="43">
        <v>466716</v>
      </c>
      <c r="G5">
        <f t="shared" ref="G5:G6" si="0">E5+F5</f>
        <v>1192000</v>
      </c>
      <c r="I5">
        <v>952201</v>
      </c>
      <c r="J5">
        <f>I5-G5</f>
        <v>-239799</v>
      </c>
    </row>
    <row r="6" spans="1:13" ht="15.75" thickBot="1" x14ac:dyDescent="0.3">
      <c r="A6" s="9">
        <v>2021</v>
      </c>
      <c r="B6" s="95">
        <f>C6+D6</f>
        <v>139</v>
      </c>
      <c r="C6" s="95">
        <v>87</v>
      </c>
      <c r="D6" s="95">
        <v>52</v>
      </c>
      <c r="E6" s="95">
        <f>575148-7863</f>
        <v>567285</v>
      </c>
      <c r="F6" s="95">
        <f>359088+58113+18574+12206+11120-5068-10227-1682+15872-34096</f>
        <v>423900</v>
      </c>
      <c r="G6">
        <f t="shared" si="0"/>
        <v>991185</v>
      </c>
      <c r="H6" s="114"/>
      <c r="I6">
        <v>953980</v>
      </c>
      <c r="J6">
        <f>I6-G6</f>
        <v>-37205</v>
      </c>
    </row>
    <row r="7" spans="1:13" ht="15.75" thickBot="1" x14ac:dyDescent="0.3">
      <c r="A7" s="118">
        <v>2022</v>
      </c>
      <c r="B7" s="115">
        <f>C7+D7</f>
        <v>139</v>
      </c>
      <c r="C7" s="115">
        <v>87</v>
      </c>
      <c r="D7" s="115">
        <v>52</v>
      </c>
      <c r="E7" s="115">
        <f>588580+7739</f>
        <v>596319</v>
      </c>
      <c r="F7" s="115">
        <f>360756+19200</f>
        <v>379956</v>
      </c>
      <c r="G7">
        <f>E7+F7</f>
        <v>976275</v>
      </c>
      <c r="H7" s="114">
        <v>991185</v>
      </c>
      <c r="I7">
        <f>G7-H7</f>
        <v>-14910</v>
      </c>
    </row>
    <row r="8" spans="1:13" ht="32.25" thickBot="1" x14ac:dyDescent="0.3">
      <c r="A8" s="23" t="s">
        <v>66</v>
      </c>
      <c r="B8" s="115">
        <f>C8+D8</f>
        <v>145</v>
      </c>
      <c r="C8" s="115">
        <v>95</v>
      </c>
      <c r="D8" s="115">
        <v>50</v>
      </c>
      <c r="E8" s="115">
        <f>641172+20000</f>
        <v>661172</v>
      </c>
      <c r="F8" s="115">
        <f>352884+18350+14632</f>
        <v>385866</v>
      </c>
      <c r="G8">
        <f>E8+F8</f>
        <v>1047038</v>
      </c>
      <c r="H8" s="117">
        <v>1047038</v>
      </c>
      <c r="I8">
        <f>G8-H8</f>
        <v>0</v>
      </c>
      <c r="J8">
        <v>967275</v>
      </c>
      <c r="L8">
        <f>F8-D15</f>
        <v>0</v>
      </c>
    </row>
    <row r="9" spans="1:13" x14ac:dyDescent="0.25">
      <c r="A9" s="2"/>
      <c r="I9">
        <f>I5+I6+I7</f>
        <v>1891271</v>
      </c>
      <c r="J9">
        <f>G7-I9</f>
        <v>-914996</v>
      </c>
    </row>
    <row r="10" spans="1:13" ht="15.75" thickBot="1" x14ac:dyDescent="0.3">
      <c r="A10" s="2" t="s">
        <v>67</v>
      </c>
    </row>
    <row r="11" spans="1:13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>
        <f>F8-D15</f>
        <v>0</v>
      </c>
      <c r="I11">
        <f>I9-G15</f>
        <v>844233</v>
      </c>
      <c r="L11">
        <f>955920+58113</f>
        <v>1014033</v>
      </c>
    </row>
    <row r="12" spans="1:13" ht="15" customHeight="1" thickBot="1" x14ac:dyDescent="0.3">
      <c r="A12" s="5" t="s">
        <v>13</v>
      </c>
      <c r="B12" s="44"/>
      <c r="C12" s="44"/>
      <c r="D12" s="44"/>
      <c r="E12" s="44"/>
      <c r="F12" s="44"/>
      <c r="K12" s="23" t="s">
        <v>47</v>
      </c>
      <c r="L12">
        <v>983131</v>
      </c>
    </row>
    <row r="13" spans="1:13" ht="15.75" thickBot="1" x14ac:dyDescent="0.3">
      <c r="A13" s="5" t="s">
        <v>14</v>
      </c>
      <c r="B13" s="116">
        <f>C13+E13</f>
        <v>96</v>
      </c>
      <c r="C13" s="116">
        <v>25</v>
      </c>
      <c r="D13" s="116">
        <v>151896</v>
      </c>
      <c r="E13" s="116">
        <v>71</v>
      </c>
      <c r="F13" s="116">
        <f>438256+9616</f>
        <v>447872</v>
      </c>
      <c r="H13">
        <f>G8-G15</f>
        <v>0</v>
      </c>
      <c r="L13">
        <f>L11-L12</f>
        <v>30902</v>
      </c>
      <c r="M13">
        <f>L13*605/1000</f>
        <v>18695.71</v>
      </c>
    </row>
    <row r="14" spans="1:13" ht="15.75" thickBot="1" x14ac:dyDescent="0.3">
      <c r="A14" s="5" t="s">
        <v>15</v>
      </c>
      <c r="B14" s="116">
        <f>C14+E14</f>
        <v>49</v>
      </c>
      <c r="C14" s="116">
        <v>25</v>
      </c>
      <c r="D14" s="116">
        <f>195167+9440+3731+28031-357-2042</f>
        <v>233970</v>
      </c>
      <c r="E14" s="116">
        <v>24</v>
      </c>
      <c r="F14" s="116">
        <v>213300</v>
      </c>
      <c r="M14">
        <f>L13*405</f>
        <v>12515310</v>
      </c>
    </row>
    <row r="15" spans="1:13" x14ac:dyDescent="0.25">
      <c r="A15" s="2"/>
      <c r="B15">
        <f>B14+B13+B12</f>
        <v>145</v>
      </c>
      <c r="C15">
        <f>C14+C13+C12</f>
        <v>50</v>
      </c>
      <c r="D15">
        <f>SUM(D12:D14)</f>
        <v>385866</v>
      </c>
      <c r="E15">
        <f>E14+E13</f>
        <v>95</v>
      </c>
      <c r="F15">
        <f>SUM(F13:F14)</f>
        <v>661172</v>
      </c>
      <c r="G15">
        <f>D15+F15</f>
        <v>1047038</v>
      </c>
      <c r="I15">
        <v>1047038</v>
      </c>
      <c r="J15">
        <f>G15-I15</f>
        <v>0</v>
      </c>
      <c r="M15">
        <f>M13+M14</f>
        <v>12534005.710000001</v>
      </c>
    </row>
    <row r="16" spans="1:13" ht="15.75" thickBot="1" x14ac:dyDescent="0.3">
      <c r="A16" s="2" t="s">
        <v>49</v>
      </c>
      <c r="H16">
        <f>F8-D15</f>
        <v>0</v>
      </c>
      <c r="M16">
        <f>L13-M13</f>
        <v>12206.29</v>
      </c>
    </row>
    <row r="17" spans="1:11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11" ht="15.75" thickBot="1" x14ac:dyDescent="0.3">
      <c r="A18" s="9">
        <v>2020</v>
      </c>
      <c r="B18" s="7"/>
      <c r="C18" s="7"/>
      <c r="D18" s="7"/>
      <c r="E18" s="7"/>
      <c r="F18" s="7"/>
      <c r="G18" s="7"/>
    </row>
    <row r="19" spans="1:11" ht="15.75" thickBot="1" x14ac:dyDescent="0.3">
      <c r="A19" s="9">
        <v>2021</v>
      </c>
      <c r="B19" s="7"/>
      <c r="C19" s="7"/>
      <c r="D19" s="7"/>
      <c r="E19" s="7"/>
      <c r="F19" s="7"/>
      <c r="G19" s="7"/>
      <c r="K19" s="24"/>
    </row>
    <row r="20" spans="1:11" ht="15.75" thickBot="1" x14ac:dyDescent="0.3">
      <c r="A20" s="9">
        <v>2022</v>
      </c>
      <c r="B20" s="7"/>
      <c r="C20" s="7"/>
      <c r="D20" s="7"/>
      <c r="E20" s="7"/>
      <c r="F20" s="7"/>
      <c r="G20" s="7"/>
    </row>
    <row r="21" spans="1:11" ht="32.25" thickBot="1" x14ac:dyDescent="0.3">
      <c r="A21" s="23" t="s">
        <v>66</v>
      </c>
      <c r="B21" s="36"/>
      <c r="C21" s="36"/>
      <c r="D21" s="36"/>
      <c r="E21" s="36"/>
      <c r="F21" s="43"/>
      <c r="G21" s="35"/>
    </row>
    <row r="23" spans="1:11" ht="15.75" x14ac:dyDescent="0.25">
      <c r="A23" s="16" t="s">
        <v>18</v>
      </c>
      <c r="E23" s="1" t="s">
        <v>44</v>
      </c>
    </row>
    <row r="24" spans="1:11" x14ac:dyDescent="0.25">
      <c r="A24" s="11" t="s">
        <v>40</v>
      </c>
      <c r="B24" s="11" t="s">
        <v>41</v>
      </c>
      <c r="C24" s="11" t="s">
        <v>38</v>
      </c>
      <c r="D24" s="14"/>
      <c r="E24" s="11" t="s">
        <v>40</v>
      </c>
      <c r="F24" s="11" t="s">
        <v>57</v>
      </c>
      <c r="G24" s="11" t="s">
        <v>38</v>
      </c>
    </row>
    <row r="25" spans="1:11" x14ac:dyDescent="0.25">
      <c r="A25" s="12" t="s">
        <v>42</v>
      </c>
      <c r="B25" s="11">
        <v>50</v>
      </c>
      <c r="C25" s="13">
        <f>B25*100/B28</f>
        <v>35.97122302158273</v>
      </c>
      <c r="D25" s="15"/>
      <c r="E25" s="12" t="s">
        <v>42</v>
      </c>
      <c r="F25" s="11">
        <f>F8</f>
        <v>385866</v>
      </c>
      <c r="G25" s="13">
        <f>F25*100/F28</f>
        <v>36.85310370779284</v>
      </c>
    </row>
    <row r="26" spans="1:11" x14ac:dyDescent="0.25">
      <c r="A26" s="12" t="s">
        <v>43</v>
      </c>
      <c r="B26" s="11">
        <v>89</v>
      </c>
      <c r="C26" s="13">
        <f>B26*100/B28</f>
        <v>64.02877697841727</v>
      </c>
      <c r="D26" s="15"/>
      <c r="E26" s="12" t="s">
        <v>43</v>
      </c>
      <c r="F26" s="11">
        <f>E8</f>
        <v>661172</v>
      </c>
      <c r="G26" s="13">
        <f>F26*100/F28</f>
        <v>63.14689629220716</v>
      </c>
    </row>
    <row r="27" spans="1:11" x14ac:dyDescent="0.25">
      <c r="A27" s="17"/>
      <c r="B27" s="18"/>
      <c r="C27" s="19"/>
      <c r="D27" s="20"/>
      <c r="E27" s="17"/>
      <c r="F27" s="18"/>
      <c r="G27" s="19"/>
    </row>
    <row r="28" spans="1:11" x14ac:dyDescent="0.25">
      <c r="A28" s="11" t="s">
        <v>39</v>
      </c>
      <c r="B28" s="11">
        <f>SUM(B25:B27)</f>
        <v>139</v>
      </c>
      <c r="C28" s="13">
        <f>C27+C26+C25</f>
        <v>100</v>
      </c>
      <c r="D28" s="15"/>
      <c r="E28" s="11" t="s">
        <v>39</v>
      </c>
      <c r="F28" s="11">
        <f>SUM(F25:F27)</f>
        <v>1047038</v>
      </c>
      <c r="G28" s="13">
        <f>G27+G26+G25</f>
        <v>100</v>
      </c>
    </row>
    <row r="29" spans="1:11" x14ac:dyDescent="0.25">
      <c r="D29" s="14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9"/>
  <sheetViews>
    <sheetView workbookViewId="0">
      <selection activeCell="G30" sqref="A1:G30"/>
    </sheetView>
  </sheetViews>
  <sheetFormatPr defaultRowHeight="15" x14ac:dyDescent="0.25"/>
  <cols>
    <col min="1" max="1" width="15.42578125" customWidth="1"/>
    <col min="2" max="2" width="11.85546875" customWidth="1"/>
    <col min="3" max="3" width="11.28515625" customWidth="1"/>
    <col min="4" max="4" width="11.42578125" customWidth="1"/>
    <col min="5" max="5" width="10.7109375" customWidth="1"/>
    <col min="6" max="6" width="12" customWidth="1"/>
    <col min="7" max="7" width="16.140625" customWidth="1"/>
  </cols>
  <sheetData>
    <row r="1" spans="1:9" ht="96.75" customHeight="1" x14ac:dyDescent="0.25">
      <c r="A1" s="1" t="s">
        <v>58</v>
      </c>
      <c r="B1" s="1"/>
    </row>
    <row r="2" spans="1:9" ht="15.75" x14ac:dyDescent="0.25">
      <c r="A2" s="1" t="s">
        <v>64</v>
      </c>
    </row>
    <row r="3" spans="1:9" ht="14.25" customHeight="1" thickBot="1" x14ac:dyDescent="0.3">
      <c r="A3" s="2" t="s">
        <v>48</v>
      </c>
    </row>
    <row r="4" spans="1:9" ht="42.7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9" ht="15.75" thickBot="1" x14ac:dyDescent="0.3">
      <c r="A5" s="9">
        <v>2020</v>
      </c>
      <c r="B5" s="43">
        <f>C5+D5</f>
        <v>10</v>
      </c>
      <c r="C5" s="43">
        <v>2</v>
      </c>
      <c r="D5" s="43">
        <v>8</v>
      </c>
      <c r="E5" s="43">
        <v>19248</v>
      </c>
      <c r="F5" s="43">
        <v>50752</v>
      </c>
      <c r="G5">
        <f t="shared" ref="G5:G6" si="0">E5+F5</f>
        <v>70000</v>
      </c>
    </row>
    <row r="6" spans="1:9" ht="15.75" thickBot="1" x14ac:dyDescent="0.3">
      <c r="A6" s="9">
        <v>2021</v>
      </c>
      <c r="B6" s="43">
        <f>C6+D6</f>
        <v>10</v>
      </c>
      <c r="C6" s="43">
        <v>1</v>
      </c>
      <c r="D6" s="43">
        <v>9</v>
      </c>
      <c r="E6" s="43">
        <v>5088</v>
      </c>
      <c r="F6" s="43">
        <f>58683-5088</f>
        <v>53595</v>
      </c>
      <c r="G6">
        <f t="shared" si="0"/>
        <v>58683</v>
      </c>
    </row>
    <row r="7" spans="1:9" ht="21.75" thickBot="1" x14ac:dyDescent="0.3">
      <c r="A7" s="23" t="s">
        <v>65</v>
      </c>
      <c r="B7" s="43">
        <f>C7+D7</f>
        <v>10</v>
      </c>
      <c r="C7" s="43">
        <v>1</v>
      </c>
      <c r="D7" s="43">
        <v>9</v>
      </c>
      <c r="E7" s="43">
        <v>5188</v>
      </c>
      <c r="F7" s="43">
        <f>50752+460</f>
        <v>51212</v>
      </c>
      <c r="G7">
        <f>E7+F7</f>
        <v>56400</v>
      </c>
      <c r="H7" s="114">
        <v>58683</v>
      </c>
      <c r="I7">
        <f>G7-H7</f>
        <v>-2283</v>
      </c>
    </row>
    <row r="8" spans="1:9" ht="21.75" thickBot="1" x14ac:dyDescent="0.3">
      <c r="A8" s="23" t="s">
        <v>66</v>
      </c>
      <c r="B8" s="43">
        <f>C8+D8</f>
        <v>10</v>
      </c>
      <c r="C8" s="43">
        <v>1</v>
      </c>
      <c r="D8" s="43">
        <v>9</v>
      </c>
      <c r="E8" s="43">
        <v>5114</v>
      </c>
      <c r="F8" s="43">
        <f>50752+460+824</f>
        <v>52036</v>
      </c>
      <c r="G8">
        <f>E8+F8</f>
        <v>57150</v>
      </c>
      <c r="H8">
        <v>57150</v>
      </c>
      <c r="I8">
        <f>G8-H8</f>
        <v>0</v>
      </c>
    </row>
    <row r="9" spans="1:9" x14ac:dyDescent="0.25">
      <c r="A9" s="2"/>
    </row>
    <row r="10" spans="1:9" ht="15.75" thickBot="1" x14ac:dyDescent="0.3">
      <c r="A10" s="2" t="s">
        <v>67</v>
      </c>
    </row>
    <row r="11" spans="1:9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</row>
    <row r="12" spans="1:9" ht="15.75" thickBot="1" x14ac:dyDescent="0.3">
      <c r="A12" s="5" t="s">
        <v>13</v>
      </c>
      <c r="B12" s="44"/>
      <c r="C12" s="44"/>
      <c r="D12" s="44"/>
      <c r="E12" s="44"/>
      <c r="F12" s="44"/>
    </row>
    <row r="13" spans="1:9" ht="15.75" thickBot="1" x14ac:dyDescent="0.3">
      <c r="A13" s="5" t="s">
        <v>14</v>
      </c>
      <c r="B13" s="44">
        <f>C13+E13</f>
        <v>9</v>
      </c>
      <c r="C13" s="44">
        <v>8</v>
      </c>
      <c r="D13" s="44">
        <f>45188+6024-6684</f>
        <v>44528</v>
      </c>
      <c r="E13" s="44">
        <v>1</v>
      </c>
      <c r="F13" s="44">
        <v>5114</v>
      </c>
    </row>
    <row r="14" spans="1:9" ht="15.75" thickBot="1" x14ac:dyDescent="0.3">
      <c r="A14" s="5" t="s">
        <v>15</v>
      </c>
      <c r="B14" s="44">
        <f>C14+E14</f>
        <v>1</v>
      </c>
      <c r="C14" s="44">
        <v>1</v>
      </c>
      <c r="D14" s="44">
        <v>7508</v>
      </c>
      <c r="E14" s="44"/>
      <c r="F14" s="44"/>
    </row>
    <row r="15" spans="1:9" x14ac:dyDescent="0.25">
      <c r="A15" s="2"/>
      <c r="B15">
        <f>B14+B13+B12</f>
        <v>10</v>
      </c>
      <c r="C15">
        <f>C14+C13+C12</f>
        <v>9</v>
      </c>
      <c r="D15">
        <f>SUM(D12:D14)</f>
        <v>52036</v>
      </c>
      <c r="E15">
        <f>E14+E13</f>
        <v>1</v>
      </c>
      <c r="F15">
        <f>SUM(F13:F14)</f>
        <v>5114</v>
      </c>
      <c r="G15">
        <f>D15+F15</f>
        <v>57150</v>
      </c>
      <c r="H15">
        <f>G8-G15</f>
        <v>0</v>
      </c>
    </row>
    <row r="16" spans="1:9" ht="15.75" thickBot="1" x14ac:dyDescent="0.3">
      <c r="A16" s="2" t="s">
        <v>49</v>
      </c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3">
        <f t="shared" ref="B18:B20" si="1">F18+G18</f>
        <v>30000</v>
      </c>
      <c r="C18" s="3">
        <f t="shared" ref="C18:C20" si="2">D18+E18</f>
        <v>90</v>
      </c>
      <c r="D18" s="7">
        <v>45</v>
      </c>
      <c r="E18" s="7">
        <v>45</v>
      </c>
      <c r="F18" s="43">
        <v>15000</v>
      </c>
      <c r="G18" s="35">
        <v>15000</v>
      </c>
    </row>
    <row r="19" spans="1:7" ht="15.75" thickBot="1" x14ac:dyDescent="0.3">
      <c r="A19" s="9">
        <v>2021</v>
      </c>
      <c r="B19" s="3">
        <f t="shared" si="1"/>
        <v>30000</v>
      </c>
      <c r="C19" s="3">
        <f t="shared" si="2"/>
        <v>90</v>
      </c>
      <c r="D19" s="7">
        <v>45</v>
      </c>
      <c r="E19" s="7">
        <v>45</v>
      </c>
      <c r="F19" s="43">
        <v>15000</v>
      </c>
      <c r="G19" s="35">
        <v>15000</v>
      </c>
    </row>
    <row r="20" spans="1:7" ht="15.75" thickBot="1" x14ac:dyDescent="0.3">
      <c r="A20" s="9">
        <v>2022</v>
      </c>
      <c r="B20" s="3">
        <f t="shared" si="1"/>
        <v>38000</v>
      </c>
      <c r="C20" s="3">
        <f t="shared" si="2"/>
        <v>90</v>
      </c>
      <c r="D20" s="7">
        <v>45</v>
      </c>
      <c r="E20" s="7">
        <v>45</v>
      </c>
      <c r="F20" s="43">
        <v>19000</v>
      </c>
      <c r="G20" s="35">
        <v>19000</v>
      </c>
    </row>
    <row r="21" spans="1:7" ht="21.75" thickBot="1" x14ac:dyDescent="0.3">
      <c r="A21" s="23" t="s">
        <v>66</v>
      </c>
      <c r="B21" s="3">
        <f>F21+G21</f>
        <v>40000</v>
      </c>
      <c r="C21" s="3">
        <f>D21+E21</f>
        <v>90</v>
      </c>
      <c r="D21" s="7">
        <v>45</v>
      </c>
      <c r="E21" s="7">
        <v>45</v>
      </c>
      <c r="F21" s="43">
        <v>20000</v>
      </c>
      <c r="G21" s="35">
        <v>20000</v>
      </c>
    </row>
    <row r="23" spans="1:7" ht="15.75" x14ac:dyDescent="0.25">
      <c r="A23" s="16" t="s">
        <v>18</v>
      </c>
      <c r="E23" s="1" t="s">
        <v>44</v>
      </c>
    </row>
    <row r="24" spans="1:7" x14ac:dyDescent="0.25">
      <c r="A24" s="11" t="s">
        <v>40</v>
      </c>
      <c r="B24" s="11" t="s">
        <v>41</v>
      </c>
      <c r="C24" s="11" t="s">
        <v>38</v>
      </c>
      <c r="D24" s="14"/>
      <c r="E24" s="11" t="s">
        <v>40</v>
      </c>
      <c r="F24" s="11" t="s">
        <v>57</v>
      </c>
      <c r="G24" s="11" t="s">
        <v>38</v>
      </c>
    </row>
    <row r="25" spans="1:7" x14ac:dyDescent="0.25">
      <c r="A25" s="12" t="s">
        <v>42</v>
      </c>
      <c r="B25" s="11">
        <v>8</v>
      </c>
      <c r="C25" s="13">
        <f>B25*100/B28</f>
        <v>80</v>
      </c>
      <c r="D25" s="15"/>
      <c r="E25" s="12" t="s">
        <v>42</v>
      </c>
      <c r="F25" s="11">
        <f>D15</f>
        <v>52036</v>
      </c>
      <c r="G25" s="13">
        <f>F25*100/F28</f>
        <v>91.051618547681542</v>
      </c>
    </row>
    <row r="26" spans="1:7" x14ac:dyDescent="0.25">
      <c r="A26" s="12" t="s">
        <v>43</v>
      </c>
      <c r="B26" s="11">
        <v>2</v>
      </c>
      <c r="C26" s="13">
        <f>B26*100/B28</f>
        <v>20</v>
      </c>
      <c r="D26" s="15"/>
      <c r="E26" s="12" t="s">
        <v>43</v>
      </c>
      <c r="F26" s="11">
        <f>F15</f>
        <v>5114</v>
      </c>
      <c r="G26" s="13">
        <f>F26*100/F28</f>
        <v>8.9483814523184595</v>
      </c>
    </row>
    <row r="27" spans="1:7" x14ac:dyDescent="0.25">
      <c r="A27" s="17"/>
      <c r="B27" s="18"/>
      <c r="C27" s="19"/>
      <c r="D27" s="20"/>
      <c r="E27" s="17"/>
      <c r="F27" s="18"/>
      <c r="G27" s="19"/>
    </row>
    <row r="28" spans="1:7" x14ac:dyDescent="0.25">
      <c r="A28" s="11" t="s">
        <v>39</v>
      </c>
      <c r="B28" s="11">
        <f>SUM(B25:B27)</f>
        <v>10</v>
      </c>
      <c r="C28" s="13">
        <f>C27+C26+C25</f>
        <v>100</v>
      </c>
      <c r="D28" s="15"/>
      <c r="E28" s="11" t="s">
        <v>39</v>
      </c>
      <c r="F28" s="11">
        <f>SUM(F25:F27)</f>
        <v>57150</v>
      </c>
      <c r="G28" s="13">
        <f>G27+G26+G25</f>
        <v>100</v>
      </c>
    </row>
    <row r="29" spans="1:7" x14ac:dyDescent="0.25">
      <c r="D29" s="1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8"/>
  <sheetViews>
    <sheetView zoomScale="142" zoomScaleNormal="142" workbookViewId="0">
      <selection activeCell="G32" sqref="A1:G32"/>
    </sheetView>
  </sheetViews>
  <sheetFormatPr defaultRowHeight="15" x14ac:dyDescent="0.25"/>
  <cols>
    <col min="1" max="1" width="12.140625" customWidth="1"/>
    <col min="2" max="2" width="11.28515625" customWidth="1"/>
    <col min="3" max="3" width="10.5703125" customWidth="1"/>
    <col min="4" max="4" width="12" customWidth="1"/>
    <col min="5" max="5" width="11.7109375" customWidth="1"/>
    <col min="6" max="6" width="12.85546875" customWidth="1"/>
    <col min="7" max="7" width="11.28515625" customWidth="1"/>
  </cols>
  <sheetData>
    <row r="1" spans="1:9" ht="83.25" customHeight="1" x14ac:dyDescent="0.25">
      <c r="A1" s="1" t="s">
        <v>58</v>
      </c>
      <c r="B1" s="1"/>
      <c r="G1" s="1"/>
    </row>
    <row r="2" spans="1:9" ht="32.25" customHeight="1" x14ac:dyDescent="0.25">
      <c r="A2" s="1" t="s">
        <v>35</v>
      </c>
      <c r="B2" s="1"/>
    </row>
    <row r="3" spans="1:9" ht="15.75" thickBot="1" x14ac:dyDescent="0.3">
      <c r="A3" s="2" t="s">
        <v>48</v>
      </c>
    </row>
    <row r="4" spans="1:9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9" ht="15.75" thickBot="1" x14ac:dyDescent="0.3">
      <c r="A5" s="9">
        <v>2020</v>
      </c>
      <c r="B5" s="47">
        <v>14</v>
      </c>
      <c r="C5" s="47">
        <v>4</v>
      </c>
      <c r="D5" s="47">
        <v>10</v>
      </c>
      <c r="E5" s="47">
        <v>19296</v>
      </c>
      <c r="F5" s="47">
        <v>52702</v>
      </c>
      <c r="G5">
        <f>E5+F5</f>
        <v>71998</v>
      </c>
      <c r="H5">
        <v>71998</v>
      </c>
      <c r="I5">
        <f>H5-G5</f>
        <v>0</v>
      </c>
    </row>
    <row r="6" spans="1:9" ht="15.75" thickBot="1" x14ac:dyDescent="0.3">
      <c r="A6" s="9">
        <v>2021</v>
      </c>
      <c r="B6" s="47">
        <v>14</v>
      </c>
      <c r="C6" s="47">
        <v>4</v>
      </c>
      <c r="D6" s="47">
        <v>10</v>
      </c>
      <c r="E6" s="47">
        <v>20200</v>
      </c>
      <c r="F6" s="47">
        <v>52115</v>
      </c>
      <c r="G6">
        <f t="shared" ref="G6:G7" si="0">E6+F6</f>
        <v>72315</v>
      </c>
      <c r="H6" s="76">
        <v>72315</v>
      </c>
      <c r="I6">
        <f>H6-F6-E6</f>
        <v>0</v>
      </c>
    </row>
    <row r="7" spans="1:9" ht="15.75" thickBot="1" x14ac:dyDescent="0.3">
      <c r="A7" s="9">
        <v>2022</v>
      </c>
      <c r="B7" s="47">
        <v>14</v>
      </c>
      <c r="C7" s="47">
        <v>4</v>
      </c>
      <c r="D7" s="47">
        <v>10</v>
      </c>
      <c r="E7" s="47">
        <v>20729</v>
      </c>
      <c r="F7" s="47">
        <v>55121</v>
      </c>
      <c r="G7">
        <f t="shared" si="0"/>
        <v>75850</v>
      </c>
      <c r="H7" s="76">
        <v>75850</v>
      </c>
      <c r="I7">
        <f>H7-F7-E7</f>
        <v>0</v>
      </c>
    </row>
    <row r="8" spans="1:9" ht="23.25" customHeight="1" thickBot="1" x14ac:dyDescent="0.3">
      <c r="A8" s="23" t="s">
        <v>66</v>
      </c>
      <c r="B8" s="47">
        <v>14</v>
      </c>
      <c r="C8" s="47">
        <v>4</v>
      </c>
      <c r="D8" s="47">
        <v>10</v>
      </c>
      <c r="E8" s="47">
        <v>20729</v>
      </c>
      <c r="F8" s="47">
        <f>55121-250</f>
        <v>54871</v>
      </c>
      <c r="G8">
        <f>E8+F8</f>
        <v>75600</v>
      </c>
      <c r="H8" s="75">
        <v>75600</v>
      </c>
      <c r="I8">
        <f>H8-G8</f>
        <v>0</v>
      </c>
    </row>
    <row r="9" spans="1:9" ht="19.5" thickBot="1" x14ac:dyDescent="0.35">
      <c r="A9" s="25"/>
      <c r="B9" s="40"/>
      <c r="C9" s="40"/>
      <c r="D9" s="40"/>
      <c r="E9" s="40"/>
      <c r="F9" s="40"/>
      <c r="G9" s="33"/>
    </row>
    <row r="10" spans="1:9" s="39" customFormat="1" ht="15.75" thickBot="1" x14ac:dyDescent="0.3">
      <c r="A10" s="38" t="s">
        <v>67</v>
      </c>
    </row>
    <row r="11" spans="1:9" ht="21.75" thickBot="1" x14ac:dyDescent="0.3">
      <c r="A11" s="5" t="s">
        <v>7</v>
      </c>
      <c r="B11" s="37" t="s">
        <v>8</v>
      </c>
      <c r="C11" s="37" t="s">
        <v>9</v>
      </c>
      <c r="D11" s="37" t="s">
        <v>10</v>
      </c>
      <c r="E11" s="37" t="s">
        <v>11</v>
      </c>
      <c r="F11" s="37" t="s">
        <v>12</v>
      </c>
      <c r="H11">
        <f>G8-C120</f>
        <v>75600</v>
      </c>
    </row>
    <row r="12" spans="1:9" ht="15.75" thickBot="1" x14ac:dyDescent="0.3">
      <c r="A12" s="5" t="s">
        <v>13</v>
      </c>
      <c r="B12" s="44">
        <f>C12+E12</f>
        <v>5</v>
      </c>
      <c r="C12" s="44">
        <v>3</v>
      </c>
      <c r="D12" s="44">
        <v>13900</v>
      </c>
      <c r="E12" s="44">
        <v>2</v>
      </c>
      <c r="F12" s="44">
        <v>9302</v>
      </c>
      <c r="G12">
        <v>5</v>
      </c>
    </row>
    <row r="13" spans="1:9" ht="15.75" thickBot="1" x14ac:dyDescent="0.3">
      <c r="A13" s="5" t="s">
        <v>14</v>
      </c>
      <c r="B13" s="44">
        <f>C13+E13</f>
        <v>9</v>
      </c>
      <c r="C13" s="44">
        <v>7</v>
      </c>
      <c r="D13" s="44">
        <f>41280-71-238</f>
        <v>40971</v>
      </c>
      <c r="E13" s="44">
        <v>2</v>
      </c>
      <c r="F13" s="44">
        <f>11094+333</f>
        <v>11427</v>
      </c>
    </row>
    <row r="14" spans="1:9" ht="15.75" thickBot="1" x14ac:dyDescent="0.3">
      <c r="A14" s="5" t="s">
        <v>15</v>
      </c>
      <c r="B14" s="44"/>
      <c r="C14" s="7"/>
      <c r="D14" s="7"/>
      <c r="E14" s="7"/>
      <c r="F14" s="7"/>
    </row>
    <row r="15" spans="1:9" x14ac:dyDescent="0.25">
      <c r="A15" s="2"/>
      <c r="B15">
        <f>B14+B13+B12</f>
        <v>14</v>
      </c>
      <c r="D15">
        <f>D12+D13+D14</f>
        <v>54871</v>
      </c>
      <c r="F15">
        <f>F12+F13+F14</f>
        <v>20729</v>
      </c>
      <c r="G15">
        <f>D15+F15</f>
        <v>75600</v>
      </c>
      <c r="H15">
        <f>G8-G15</f>
        <v>0</v>
      </c>
    </row>
    <row r="16" spans="1:9" ht="15.75" thickBot="1" x14ac:dyDescent="0.3">
      <c r="A16" s="2" t="s">
        <v>49</v>
      </c>
    </row>
    <row r="17" spans="1:12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12" ht="15.75" thickBot="1" x14ac:dyDescent="0.3">
      <c r="A18" s="9">
        <v>2019</v>
      </c>
      <c r="B18" s="7">
        <f t="shared" ref="B18:B20" si="1">F18+G18</f>
        <v>28000</v>
      </c>
      <c r="C18" s="7">
        <f t="shared" ref="C18:C20" si="2">D18+E18</f>
        <v>115</v>
      </c>
      <c r="D18" s="7">
        <v>60</v>
      </c>
      <c r="E18" s="7">
        <v>55</v>
      </c>
      <c r="F18" s="7">
        <v>14000</v>
      </c>
      <c r="G18" s="7">
        <v>14000</v>
      </c>
    </row>
    <row r="19" spans="1:12" ht="15.75" thickBot="1" x14ac:dyDescent="0.3">
      <c r="A19" s="9">
        <v>2020</v>
      </c>
      <c r="B19" s="7">
        <f t="shared" si="1"/>
        <v>28000</v>
      </c>
      <c r="C19" s="7">
        <f t="shared" si="2"/>
        <v>115</v>
      </c>
      <c r="D19" s="7">
        <v>60</v>
      </c>
      <c r="E19" s="7">
        <v>55</v>
      </c>
      <c r="F19" s="7">
        <v>14000</v>
      </c>
      <c r="G19" s="7">
        <v>14000</v>
      </c>
    </row>
    <row r="20" spans="1:12" ht="15.75" thickBot="1" x14ac:dyDescent="0.3">
      <c r="A20" s="9">
        <v>2021</v>
      </c>
      <c r="B20" s="7">
        <f t="shared" si="1"/>
        <v>50000</v>
      </c>
      <c r="C20" s="7">
        <f t="shared" si="2"/>
        <v>140</v>
      </c>
      <c r="D20" s="35">
        <v>70</v>
      </c>
      <c r="E20" s="35">
        <v>70</v>
      </c>
      <c r="F20" s="7">
        <v>24000</v>
      </c>
      <c r="G20" s="7">
        <v>26000</v>
      </c>
    </row>
    <row r="21" spans="1:12" ht="24" customHeight="1" thickBot="1" x14ac:dyDescent="0.3">
      <c r="A21" s="23" t="s">
        <v>66</v>
      </c>
      <c r="B21" s="7">
        <f t="shared" ref="B21" si="3">F21+G21</f>
        <v>100000</v>
      </c>
      <c r="C21" s="7">
        <f t="shared" ref="C21" si="4">D21+E21</f>
        <v>180</v>
      </c>
      <c r="D21" s="35">
        <v>90</v>
      </c>
      <c r="E21" s="35">
        <v>90</v>
      </c>
      <c r="F21" s="7">
        <v>50000</v>
      </c>
      <c r="G21" s="7">
        <v>50000</v>
      </c>
      <c r="L21" t="s">
        <v>23</v>
      </c>
    </row>
    <row r="22" spans="1:12" x14ac:dyDescent="0.25">
      <c r="A22" s="25"/>
      <c r="B22" s="14"/>
      <c r="C22" s="14"/>
      <c r="D22" s="14"/>
      <c r="E22" s="14"/>
      <c r="F22" s="14"/>
      <c r="G22" s="14"/>
    </row>
    <row r="23" spans="1:12" ht="15.75" x14ac:dyDescent="0.25">
      <c r="A23" s="16" t="s">
        <v>51</v>
      </c>
      <c r="E23" s="1" t="s">
        <v>55</v>
      </c>
    </row>
    <row r="24" spans="1:12" x14ac:dyDescent="0.25">
      <c r="A24" s="11" t="s">
        <v>40</v>
      </c>
      <c r="B24" s="11" t="s">
        <v>41</v>
      </c>
      <c r="C24" s="11" t="s">
        <v>38</v>
      </c>
      <c r="D24" s="14"/>
      <c r="E24" s="11" t="s">
        <v>40</v>
      </c>
      <c r="F24" s="11" t="s">
        <v>60</v>
      </c>
      <c r="G24" s="11" t="s">
        <v>38</v>
      </c>
    </row>
    <row r="25" spans="1:12" x14ac:dyDescent="0.25">
      <c r="A25" s="12" t="s">
        <v>42</v>
      </c>
      <c r="B25" s="11">
        <v>10</v>
      </c>
      <c r="C25" s="13">
        <f>B25*100/B28</f>
        <v>71.428571428571431</v>
      </c>
      <c r="D25" s="15"/>
      <c r="E25" s="12" t="s">
        <v>42</v>
      </c>
      <c r="F25" s="11">
        <f>D15</f>
        <v>54871</v>
      </c>
      <c r="G25" s="13">
        <f>F25*100/F28</f>
        <v>72.580687830687836</v>
      </c>
    </row>
    <row r="26" spans="1:12" x14ac:dyDescent="0.25">
      <c r="A26" s="12" t="s">
        <v>43</v>
      </c>
      <c r="B26" s="11">
        <v>4</v>
      </c>
      <c r="C26" s="13">
        <f>B26*100/B28</f>
        <v>28.571428571428573</v>
      </c>
      <c r="D26" s="15"/>
      <c r="E26" s="12" t="s">
        <v>43</v>
      </c>
      <c r="F26" s="11">
        <f>F15</f>
        <v>20729</v>
      </c>
      <c r="G26" s="13">
        <f>F26*100/F28</f>
        <v>27.419312169312171</v>
      </c>
    </row>
    <row r="27" spans="1:12" x14ac:dyDescent="0.25">
      <c r="A27" s="17"/>
      <c r="B27" s="18"/>
      <c r="C27" s="19"/>
      <c r="D27" s="20"/>
      <c r="E27" s="17"/>
      <c r="F27" s="18"/>
      <c r="G27" s="19"/>
    </row>
    <row r="28" spans="1:12" x14ac:dyDescent="0.25">
      <c r="A28" s="11" t="s">
        <v>39</v>
      </c>
      <c r="B28" s="11">
        <f>SUM(B25:B27)</f>
        <v>14</v>
      </c>
      <c r="C28" s="13">
        <f>C27+C26+C25</f>
        <v>100</v>
      </c>
      <c r="D28" s="15"/>
      <c r="E28" s="11" t="s">
        <v>39</v>
      </c>
      <c r="F28" s="11">
        <f>SUM(F25:F27)</f>
        <v>75600</v>
      </c>
      <c r="G28" s="13">
        <f>G27+G26+G25</f>
        <v>100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8"/>
  <sheetViews>
    <sheetView workbookViewId="0">
      <selection activeCell="G32" sqref="A1:G32"/>
    </sheetView>
  </sheetViews>
  <sheetFormatPr defaultRowHeight="15" x14ac:dyDescent="0.25"/>
  <cols>
    <col min="2" max="2" width="13.28515625" customWidth="1"/>
    <col min="3" max="3" width="12.140625" customWidth="1"/>
    <col min="4" max="5" width="12.42578125" customWidth="1"/>
    <col min="6" max="6" width="12.28515625" customWidth="1"/>
    <col min="7" max="7" width="13.42578125" customWidth="1"/>
  </cols>
  <sheetData>
    <row r="1" spans="1:11" ht="61.5" customHeight="1" x14ac:dyDescent="0.25">
      <c r="A1" s="1" t="s">
        <v>58</v>
      </c>
    </row>
    <row r="2" spans="1:11" ht="61.5" customHeight="1" x14ac:dyDescent="0.25">
      <c r="A2" s="1" t="s">
        <v>37</v>
      </c>
    </row>
    <row r="3" spans="1:11" ht="15.75" thickBot="1" x14ac:dyDescent="0.3">
      <c r="A3" s="2" t="s">
        <v>48</v>
      </c>
    </row>
    <row r="4" spans="1:11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11" ht="19.5" thickBot="1" x14ac:dyDescent="0.3">
      <c r="A5" s="9">
        <v>2020</v>
      </c>
      <c r="B5" s="45">
        <v>3</v>
      </c>
      <c r="C5" s="45"/>
      <c r="D5" s="45">
        <v>3</v>
      </c>
      <c r="E5" s="22"/>
      <c r="F5" s="45">
        <v>16533</v>
      </c>
    </row>
    <row r="6" spans="1:11" ht="15.75" thickBot="1" x14ac:dyDescent="0.3">
      <c r="A6" s="9">
        <v>2021</v>
      </c>
      <c r="B6" s="11">
        <v>3</v>
      </c>
      <c r="C6" s="11"/>
      <c r="D6" s="11">
        <v>3</v>
      </c>
      <c r="E6" s="11"/>
      <c r="F6" s="11">
        <v>20000</v>
      </c>
    </row>
    <row r="7" spans="1:11" ht="19.5" thickBot="1" x14ac:dyDescent="0.3">
      <c r="A7" s="9">
        <v>2022</v>
      </c>
      <c r="B7" s="45">
        <v>3</v>
      </c>
      <c r="C7" s="45"/>
      <c r="D7" s="45">
        <v>3</v>
      </c>
      <c r="E7" s="22"/>
      <c r="F7" s="45">
        <v>16742</v>
      </c>
    </row>
    <row r="8" spans="1:11" ht="31.5" x14ac:dyDescent="0.25">
      <c r="A8" s="23" t="s">
        <v>66</v>
      </c>
      <c r="B8" s="11">
        <v>3</v>
      </c>
      <c r="C8" s="11"/>
      <c r="D8" s="11">
        <v>3</v>
      </c>
      <c r="E8" s="11"/>
      <c r="F8" s="11">
        <v>16810</v>
      </c>
      <c r="K8" t="s">
        <v>24</v>
      </c>
    </row>
    <row r="9" spans="1:11" x14ac:dyDescent="0.25">
      <c r="A9" s="34"/>
      <c r="B9" s="14"/>
      <c r="C9" s="14"/>
      <c r="D9" s="14"/>
      <c r="E9" s="14"/>
      <c r="F9" s="14"/>
    </row>
    <row r="10" spans="1:11" ht="15.75" thickBot="1" x14ac:dyDescent="0.3">
      <c r="A10" s="2" t="s">
        <v>67</v>
      </c>
    </row>
    <row r="11" spans="1:11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</row>
    <row r="12" spans="1:11" ht="15.75" thickBot="1" x14ac:dyDescent="0.3">
      <c r="A12" s="5" t="s">
        <v>13</v>
      </c>
      <c r="B12" s="44"/>
      <c r="C12" s="44"/>
      <c r="D12" s="44"/>
      <c r="E12" s="44"/>
      <c r="F12" s="44"/>
    </row>
    <row r="13" spans="1:11" ht="15.75" thickBot="1" x14ac:dyDescent="0.3">
      <c r="A13" s="5" t="s">
        <v>14</v>
      </c>
      <c r="B13" s="44">
        <f>C13+E13</f>
        <v>3</v>
      </c>
      <c r="C13" s="44">
        <v>3</v>
      </c>
      <c r="D13" s="44">
        <v>16810</v>
      </c>
      <c r="E13" s="44"/>
      <c r="F13" s="44"/>
    </row>
    <row r="14" spans="1:11" ht="15.75" thickBot="1" x14ac:dyDescent="0.3">
      <c r="A14" s="5" t="s">
        <v>15</v>
      </c>
      <c r="B14" s="44"/>
      <c r="C14" s="44"/>
      <c r="D14" s="44"/>
      <c r="E14" s="44"/>
      <c r="F14" s="44"/>
    </row>
    <row r="15" spans="1:11" x14ac:dyDescent="0.25">
      <c r="A15" s="2"/>
    </row>
    <row r="16" spans="1:11" ht="15.75" thickBot="1" x14ac:dyDescent="0.3">
      <c r="A16" s="2" t="s">
        <v>49</v>
      </c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7"/>
      <c r="C18" s="7"/>
      <c r="D18" s="7"/>
      <c r="E18" s="7"/>
      <c r="F18" s="7"/>
      <c r="G18" s="7"/>
    </row>
    <row r="19" spans="1:7" ht="15.75" thickBot="1" x14ac:dyDescent="0.3">
      <c r="A19" s="9">
        <v>2021</v>
      </c>
      <c r="B19" s="7"/>
      <c r="C19" s="7"/>
      <c r="D19" s="7"/>
      <c r="E19" s="7"/>
      <c r="F19" s="7"/>
      <c r="G19" s="7"/>
    </row>
    <row r="20" spans="1:7" ht="15.75" thickBot="1" x14ac:dyDescent="0.3">
      <c r="A20" s="9">
        <v>2022</v>
      </c>
      <c r="B20" s="28"/>
      <c r="C20" s="28"/>
      <c r="D20" s="28"/>
      <c r="E20" s="28"/>
      <c r="F20" s="28"/>
      <c r="G20" s="28"/>
    </row>
    <row r="21" spans="1:7" ht="31.5" x14ac:dyDescent="0.25">
      <c r="A21" s="23" t="s">
        <v>66</v>
      </c>
      <c r="B21" s="11"/>
      <c r="C21" s="11"/>
      <c r="D21" s="11"/>
      <c r="E21" s="11"/>
      <c r="F21" s="11"/>
      <c r="G21" s="11"/>
    </row>
    <row r="22" spans="1:7" x14ac:dyDescent="0.25">
      <c r="A22" s="14"/>
      <c r="B22" s="14"/>
      <c r="C22" s="14"/>
      <c r="D22" s="14"/>
      <c r="E22" s="14"/>
      <c r="F22" s="14"/>
      <c r="G22" s="14"/>
    </row>
    <row r="23" spans="1:7" ht="15.75" x14ac:dyDescent="0.25">
      <c r="A23" s="16" t="s">
        <v>18</v>
      </c>
      <c r="E23" s="1" t="s">
        <v>44</v>
      </c>
    </row>
    <row r="24" spans="1:7" x14ac:dyDescent="0.25">
      <c r="A24" s="11" t="s">
        <v>40</v>
      </c>
      <c r="B24" s="11" t="s">
        <v>41</v>
      </c>
      <c r="C24" s="11" t="s">
        <v>38</v>
      </c>
      <c r="D24" s="14"/>
      <c r="E24" s="11" t="s">
        <v>40</v>
      </c>
      <c r="F24" s="11" t="s">
        <v>57</v>
      </c>
      <c r="G24" s="11" t="s">
        <v>38</v>
      </c>
    </row>
    <row r="25" spans="1:7" x14ac:dyDescent="0.25">
      <c r="A25" s="12" t="s">
        <v>42</v>
      </c>
      <c r="B25" s="11">
        <v>3</v>
      </c>
      <c r="C25" s="13">
        <f>B25*100/B28</f>
        <v>100</v>
      </c>
      <c r="D25" s="15"/>
      <c r="E25" s="12" t="s">
        <v>42</v>
      </c>
      <c r="F25" s="11">
        <f>F8</f>
        <v>16810</v>
      </c>
      <c r="G25" s="13">
        <f>F25*100/F28</f>
        <v>100</v>
      </c>
    </row>
    <row r="26" spans="1:7" x14ac:dyDescent="0.25">
      <c r="A26" s="12" t="s">
        <v>43</v>
      </c>
      <c r="B26" s="11">
        <v>0</v>
      </c>
      <c r="C26" s="13">
        <f>B26*100/B28</f>
        <v>0</v>
      </c>
      <c r="D26" s="15"/>
      <c r="E26" s="12" t="s">
        <v>43</v>
      </c>
      <c r="F26" s="11">
        <v>0</v>
      </c>
      <c r="G26" s="13">
        <f>F26*100/F28</f>
        <v>0</v>
      </c>
    </row>
    <row r="27" spans="1:7" x14ac:dyDescent="0.25">
      <c r="A27" s="17"/>
      <c r="B27" s="18"/>
      <c r="C27" s="19"/>
      <c r="D27" s="20"/>
      <c r="E27" s="17"/>
      <c r="F27" s="18"/>
      <c r="G27" s="19"/>
    </row>
    <row r="28" spans="1:7" x14ac:dyDescent="0.25">
      <c r="A28" s="11" t="s">
        <v>39</v>
      </c>
      <c r="B28" s="11">
        <f>SUM(B25:B27)</f>
        <v>3</v>
      </c>
      <c r="C28" s="13">
        <f>C27+C26+C25</f>
        <v>100</v>
      </c>
      <c r="D28" s="15"/>
      <c r="E28" s="11" t="s">
        <v>39</v>
      </c>
      <c r="F28" s="11">
        <f>SUM(F25:F27)</f>
        <v>16810</v>
      </c>
      <c r="G28" s="13">
        <f>G27+G26+G25</f>
        <v>100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9"/>
  <sheetViews>
    <sheetView workbookViewId="0">
      <selection activeCell="G31" sqref="A1:G31"/>
    </sheetView>
  </sheetViews>
  <sheetFormatPr defaultRowHeight="15" x14ac:dyDescent="0.25"/>
  <cols>
    <col min="2" max="2" width="10.28515625" customWidth="1"/>
    <col min="3" max="3" width="11.28515625" customWidth="1"/>
    <col min="4" max="5" width="10.28515625" customWidth="1"/>
    <col min="6" max="6" width="13.28515625" customWidth="1"/>
    <col min="7" max="7" width="13" customWidth="1"/>
    <col min="8" max="8" width="10.5703125" bestFit="1" customWidth="1"/>
    <col min="9" max="9" width="12.140625" customWidth="1"/>
  </cols>
  <sheetData>
    <row r="1" spans="1:10" ht="63" customHeight="1" x14ac:dyDescent="0.25">
      <c r="A1" s="1"/>
    </row>
    <row r="2" spans="1:10" ht="15.75" x14ac:dyDescent="0.25">
      <c r="A2" s="1" t="s">
        <v>58</v>
      </c>
    </row>
    <row r="3" spans="1:10" ht="15.75" x14ac:dyDescent="0.25">
      <c r="A3" s="1" t="s">
        <v>36</v>
      </c>
    </row>
    <row r="4" spans="1:10" ht="15.75" thickBot="1" x14ac:dyDescent="0.3">
      <c r="A4" s="2" t="s">
        <v>59</v>
      </c>
    </row>
    <row r="5" spans="1:10" ht="42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10" ht="15.75" thickBot="1" x14ac:dyDescent="0.3">
      <c r="A6" s="9">
        <v>2020</v>
      </c>
      <c r="B6" s="43">
        <f t="shared" ref="B6" si="0">C6+D6</f>
        <v>816</v>
      </c>
      <c r="C6" s="43">
        <v>335</v>
      </c>
      <c r="D6" s="43">
        <v>481</v>
      </c>
      <c r="E6" s="43">
        <f>1918328+84017</f>
        <v>2002345</v>
      </c>
      <c r="F6" s="43">
        <f>2802604+110000</f>
        <v>2912604</v>
      </c>
      <c r="G6" s="48">
        <f t="shared" ref="G6:G7" si="1">E6+F6</f>
        <v>4914949</v>
      </c>
    </row>
    <row r="7" spans="1:10" ht="15.75" thickBot="1" x14ac:dyDescent="0.3">
      <c r="A7" s="9">
        <v>2021</v>
      </c>
      <c r="B7" s="43">
        <f>C7+D7</f>
        <v>825</v>
      </c>
      <c r="C7" s="43">
        <v>371</v>
      </c>
      <c r="D7" s="43">
        <v>454</v>
      </c>
      <c r="E7" s="43">
        <f>2542243+4643</f>
        <v>2546886</v>
      </c>
      <c r="F7" s="43">
        <f>3189916+479-4643</f>
        <v>3185752</v>
      </c>
      <c r="G7" s="48">
        <f t="shared" si="1"/>
        <v>5732638</v>
      </c>
    </row>
    <row r="8" spans="1:10" ht="15.75" thickBot="1" x14ac:dyDescent="0.3">
      <c r="A8" s="9">
        <v>2022</v>
      </c>
      <c r="B8" s="43">
        <f t="shared" ref="B8" si="2">C8+D8</f>
        <v>825</v>
      </c>
      <c r="C8" s="43">
        <v>371</v>
      </c>
      <c r="D8" s="43">
        <v>454</v>
      </c>
      <c r="E8" s="43">
        <f>2542243+4643-300000</f>
        <v>2246886</v>
      </c>
      <c r="F8" s="43">
        <f>3189916+479-304643-9006</f>
        <v>2876746</v>
      </c>
      <c r="G8" s="48">
        <f>F8+E8</f>
        <v>5123632</v>
      </c>
      <c r="H8" s="48">
        <v>5123632</v>
      </c>
      <c r="I8" s="77">
        <f>G8-H8</f>
        <v>0</v>
      </c>
    </row>
    <row r="9" spans="1:10" ht="32.25" thickBot="1" x14ac:dyDescent="0.3">
      <c r="A9" s="23" t="s">
        <v>66</v>
      </c>
      <c r="B9" s="95">
        <f>C9+D9</f>
        <v>825</v>
      </c>
      <c r="C9" s="95">
        <f>5+20+336+68</f>
        <v>429</v>
      </c>
      <c r="D9" s="95">
        <f>4+1+282+108+1</f>
        <v>396</v>
      </c>
      <c r="E9" s="115">
        <f>28000+111490+2300000+490000-103451</f>
        <v>2826039</v>
      </c>
      <c r="F9" s="115">
        <f>30000+4810+1617970+782610-60000</f>
        <v>2375390</v>
      </c>
      <c r="G9" s="48">
        <f>E9+F9</f>
        <v>5201429</v>
      </c>
      <c r="H9" s="77">
        <v>5201429</v>
      </c>
      <c r="I9" s="77">
        <f>G9-H9</f>
        <v>0</v>
      </c>
      <c r="J9">
        <f>E9+F9</f>
        <v>5201429</v>
      </c>
    </row>
    <row r="10" spans="1:10" x14ac:dyDescent="0.25">
      <c r="A10" s="2"/>
    </row>
    <row r="11" spans="1:10" ht="15.75" thickBot="1" x14ac:dyDescent="0.3">
      <c r="A11" s="2" t="s">
        <v>67</v>
      </c>
      <c r="H11">
        <f>E9-F16</f>
        <v>60000</v>
      </c>
    </row>
    <row r="12" spans="1:10" ht="32.25" thickBot="1" x14ac:dyDescent="0.3">
      <c r="A12" s="6" t="s">
        <v>7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12</v>
      </c>
    </row>
    <row r="13" spans="1:10" ht="15.75" thickBot="1" x14ac:dyDescent="0.3">
      <c r="A13" s="5" t="s">
        <v>13</v>
      </c>
      <c r="B13" s="116">
        <f t="shared" ref="B13:B15" si="3">C13+E13</f>
        <v>81</v>
      </c>
      <c r="C13" s="116">
        <f>1+54+9+1</f>
        <v>65</v>
      </c>
      <c r="D13" s="116">
        <f>4810+230000+38000-10000</f>
        <v>262810</v>
      </c>
      <c r="E13" s="116">
        <f>5+7+4</f>
        <v>16</v>
      </c>
      <c r="F13" s="116">
        <f>23700+29000+35000</f>
        <v>87700</v>
      </c>
    </row>
    <row r="14" spans="1:10" ht="15.75" thickBot="1" x14ac:dyDescent="0.3">
      <c r="A14" s="5" t="s">
        <v>14</v>
      </c>
      <c r="B14" s="116">
        <f t="shared" si="3"/>
        <v>640</v>
      </c>
      <c r="C14" s="116">
        <f>3+212+33+1</f>
        <v>249</v>
      </c>
      <c r="D14" s="116">
        <f>20000+1460000+270000-187420</f>
        <v>1562580</v>
      </c>
      <c r="E14" s="116">
        <f>5+15+328+43</f>
        <v>391</v>
      </c>
      <c r="F14" s="116">
        <f>28000+79691+2200000+136930+250000-66973-163451</f>
        <v>2464197</v>
      </c>
    </row>
    <row r="15" spans="1:10" ht="15.75" thickBot="1" x14ac:dyDescent="0.3">
      <c r="A15" s="5" t="s">
        <v>15</v>
      </c>
      <c r="B15" s="116">
        <f t="shared" si="3"/>
        <v>104</v>
      </c>
      <c r="C15" s="116">
        <f>1+15+63+1</f>
        <v>80</v>
      </c>
      <c r="D15" s="116">
        <f>10000+110000+460000+40000-10000</f>
        <v>610000</v>
      </c>
      <c r="E15" s="116">
        <f>1+2+21</f>
        <v>24</v>
      </c>
      <c r="F15" s="116">
        <f>8142+16000+190000</f>
        <v>214142</v>
      </c>
    </row>
    <row r="16" spans="1:10" x14ac:dyDescent="0.25">
      <c r="A16" s="2"/>
      <c r="B16">
        <f t="shared" ref="B16:C16" si="4">SUM(B13:B15)</f>
        <v>825</v>
      </c>
      <c r="C16">
        <f t="shared" si="4"/>
        <v>394</v>
      </c>
      <c r="D16">
        <f>SUM(D13:D15)</f>
        <v>2435390</v>
      </c>
      <c r="E16">
        <f t="shared" ref="E16:F16" si="5">SUM(E13:E15)</f>
        <v>431</v>
      </c>
      <c r="F16">
        <f t="shared" si="5"/>
        <v>2766039</v>
      </c>
      <c r="G16" s="46">
        <f>D16+F16</f>
        <v>5201429</v>
      </c>
      <c r="H16" s="77">
        <f>H9</f>
        <v>5201429</v>
      </c>
      <c r="I16" s="77">
        <f>G16-H16</f>
        <v>0</v>
      </c>
    </row>
    <row r="17" spans="1:11" ht="15.75" thickBot="1" x14ac:dyDescent="0.3">
      <c r="A17" s="2" t="s">
        <v>49</v>
      </c>
    </row>
    <row r="18" spans="1:11" ht="39" thickBot="1" x14ac:dyDescent="0.3">
      <c r="A18" s="3" t="s">
        <v>16</v>
      </c>
      <c r="B18" s="8" t="s">
        <v>17</v>
      </c>
      <c r="C18" s="8" t="s">
        <v>18</v>
      </c>
      <c r="D18" s="8" t="s">
        <v>19</v>
      </c>
      <c r="E18" s="8" t="s">
        <v>20</v>
      </c>
      <c r="F18" s="8" t="s">
        <v>21</v>
      </c>
      <c r="G18" s="8" t="s">
        <v>22</v>
      </c>
    </row>
    <row r="19" spans="1:11" ht="15.75" thickBot="1" x14ac:dyDescent="0.3">
      <c r="A19" s="9">
        <v>2020</v>
      </c>
      <c r="B19" s="7"/>
      <c r="C19" s="7"/>
      <c r="D19" s="7"/>
      <c r="E19" s="7"/>
      <c r="F19" s="7"/>
      <c r="G19" s="7"/>
    </row>
    <row r="20" spans="1:11" ht="15.75" thickBot="1" x14ac:dyDescent="0.3">
      <c r="A20" s="9">
        <v>2021</v>
      </c>
      <c r="B20" s="7"/>
      <c r="C20" s="7"/>
      <c r="D20" s="7"/>
      <c r="E20" s="7"/>
      <c r="F20" s="7"/>
      <c r="G20" s="7"/>
    </row>
    <row r="21" spans="1:11" ht="15.75" thickBot="1" x14ac:dyDescent="0.3">
      <c r="A21" s="9">
        <v>2022</v>
      </c>
      <c r="B21" s="28"/>
      <c r="C21" s="28"/>
      <c r="D21" s="28"/>
      <c r="E21" s="28"/>
      <c r="F21" s="28"/>
      <c r="G21" s="28"/>
      <c r="K21">
        <f>9</f>
        <v>9</v>
      </c>
    </row>
    <row r="22" spans="1:11" ht="32.25" thickBot="1" x14ac:dyDescent="0.3">
      <c r="A22" s="23" t="s">
        <v>66</v>
      </c>
      <c r="B22" s="3"/>
      <c r="C22" s="3"/>
      <c r="D22" s="3"/>
      <c r="E22" s="3"/>
      <c r="F22" s="3"/>
      <c r="G22" s="3"/>
    </row>
    <row r="23" spans="1:11" x14ac:dyDescent="0.25">
      <c r="A23" s="49"/>
      <c r="B23" s="49"/>
      <c r="C23" s="49"/>
      <c r="D23" s="49"/>
      <c r="E23" s="49"/>
    </row>
    <row r="24" spans="1:11" x14ac:dyDescent="0.25">
      <c r="A24" s="49" t="s">
        <v>18</v>
      </c>
      <c r="B24" s="49"/>
      <c r="C24" s="49"/>
      <c r="D24" s="49"/>
      <c r="E24" s="50" t="s">
        <v>44</v>
      </c>
      <c r="F24" s="49"/>
    </row>
    <row r="25" spans="1:11" x14ac:dyDescent="0.25">
      <c r="A25" s="11" t="s">
        <v>40</v>
      </c>
      <c r="B25" s="11" t="s">
        <v>41</v>
      </c>
      <c r="C25" s="11" t="s">
        <v>38</v>
      </c>
      <c r="D25" s="14"/>
      <c r="E25" s="11" t="s">
        <v>40</v>
      </c>
      <c r="F25" s="11" t="s">
        <v>60</v>
      </c>
      <c r="G25" s="11" t="s">
        <v>38</v>
      </c>
    </row>
    <row r="26" spans="1:11" x14ac:dyDescent="0.25">
      <c r="A26" s="12" t="s">
        <v>42</v>
      </c>
      <c r="B26" s="11">
        <f>C16</f>
        <v>394</v>
      </c>
      <c r="C26" s="13">
        <f>B26*100/B29</f>
        <v>47.757575757575758</v>
      </c>
      <c r="D26" s="15"/>
      <c r="E26" s="12" t="s">
        <v>42</v>
      </c>
      <c r="F26" s="11">
        <f>D16</f>
        <v>2435390</v>
      </c>
      <c r="G26" s="13">
        <f>F26*100/F29</f>
        <v>46.82155615312638</v>
      </c>
    </row>
    <row r="27" spans="1:11" x14ac:dyDescent="0.25">
      <c r="A27" s="12" t="s">
        <v>43</v>
      </c>
      <c r="B27" s="11">
        <f>E16</f>
        <v>431</v>
      </c>
      <c r="C27" s="13">
        <f>B27*100/B29</f>
        <v>52.242424242424242</v>
      </c>
      <c r="D27" s="15"/>
      <c r="E27" s="12" t="s">
        <v>43</v>
      </c>
      <c r="F27" s="11">
        <f>F16</f>
        <v>2766039</v>
      </c>
      <c r="G27" s="13">
        <f>F27*100/F29</f>
        <v>53.17844384687362</v>
      </c>
    </row>
    <row r="28" spans="1:11" x14ac:dyDescent="0.25">
      <c r="A28" s="17"/>
      <c r="B28" s="18"/>
      <c r="C28" s="19"/>
      <c r="D28" s="20"/>
      <c r="E28" s="17"/>
      <c r="F28" s="18"/>
      <c r="G28" s="19"/>
    </row>
    <row r="29" spans="1:11" x14ac:dyDescent="0.25">
      <c r="A29" s="11" t="s">
        <v>39</v>
      </c>
      <c r="B29" s="11">
        <f>SUM(B26:B28)</f>
        <v>825</v>
      </c>
      <c r="C29" s="13">
        <f>C28+C27+C26</f>
        <v>100</v>
      </c>
      <c r="D29" s="15"/>
      <c r="E29" s="11" t="s">
        <v>39</v>
      </c>
      <c r="F29" s="11">
        <f>SUM(F26:F28)</f>
        <v>5201429</v>
      </c>
      <c r="G29" s="13">
        <f>G28+G27+G26</f>
        <v>100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activeCell="G29" sqref="A1:G29"/>
    </sheetView>
  </sheetViews>
  <sheetFormatPr defaultRowHeight="15" x14ac:dyDescent="0.25"/>
  <cols>
    <col min="1" max="1" width="11.28515625" customWidth="1"/>
    <col min="2" max="2" width="12.42578125" customWidth="1"/>
    <col min="3" max="3" width="13.5703125" customWidth="1"/>
    <col min="4" max="5" width="12.140625" customWidth="1"/>
    <col min="6" max="6" width="12.7109375" customWidth="1"/>
    <col min="7" max="7" width="12.140625" customWidth="1"/>
  </cols>
  <sheetData>
    <row r="1" spans="1:9" ht="15.75" x14ac:dyDescent="0.25">
      <c r="A1" s="121"/>
      <c r="B1" s="121"/>
      <c r="C1" s="121"/>
      <c r="D1" s="121"/>
      <c r="E1" s="121"/>
      <c r="F1" s="121"/>
      <c r="G1" s="121"/>
    </row>
    <row r="2" spans="1:9" ht="15.75" x14ac:dyDescent="0.25">
      <c r="A2" s="121" t="s">
        <v>25</v>
      </c>
      <c r="B2" s="121"/>
      <c r="C2" s="121"/>
      <c r="D2" s="121"/>
      <c r="E2" s="121"/>
      <c r="F2" s="121"/>
      <c r="G2" s="10"/>
    </row>
    <row r="3" spans="1:9" ht="15.75" thickBot="1" x14ac:dyDescent="0.3">
      <c r="A3" s="2" t="s">
        <v>48</v>
      </c>
    </row>
    <row r="4" spans="1:9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9" ht="15.75" thickBot="1" x14ac:dyDescent="0.3">
      <c r="A5" s="9">
        <v>2020</v>
      </c>
      <c r="B5" s="87">
        <v>36</v>
      </c>
      <c r="C5" s="87">
        <v>6</v>
      </c>
      <c r="D5" s="87">
        <v>30</v>
      </c>
      <c r="E5" s="87">
        <v>28375</v>
      </c>
      <c r="F5" s="87">
        <v>253589</v>
      </c>
      <c r="G5" s="86">
        <f>E5+F5</f>
        <v>281964</v>
      </c>
    </row>
    <row r="6" spans="1:9" ht="15.75" thickBot="1" x14ac:dyDescent="0.3">
      <c r="A6" s="9">
        <v>2021</v>
      </c>
      <c r="B6" s="88">
        <v>36</v>
      </c>
      <c r="C6" s="88">
        <v>6</v>
      </c>
      <c r="D6" s="88">
        <v>30</v>
      </c>
      <c r="E6" s="88">
        <v>44455</v>
      </c>
      <c r="F6" s="88">
        <v>285545</v>
      </c>
      <c r="G6" s="86">
        <f t="shared" ref="G6:G8" si="0">E6+F6</f>
        <v>330000</v>
      </c>
    </row>
    <row r="7" spans="1:9" ht="15.75" thickBot="1" x14ac:dyDescent="0.3">
      <c r="A7" s="9">
        <v>2022</v>
      </c>
      <c r="B7" s="89">
        <v>36</v>
      </c>
      <c r="C7" s="89">
        <v>6</v>
      </c>
      <c r="D7" s="89">
        <v>30</v>
      </c>
      <c r="E7" s="89">
        <v>29375</v>
      </c>
      <c r="F7" s="89">
        <f>253564+25+2216</f>
        <v>255805</v>
      </c>
      <c r="G7" s="86">
        <f t="shared" si="0"/>
        <v>285180</v>
      </c>
      <c r="H7" s="94">
        <v>285180</v>
      </c>
      <c r="I7">
        <f>G7-H7</f>
        <v>0</v>
      </c>
    </row>
    <row r="8" spans="1:9" ht="21" x14ac:dyDescent="0.25">
      <c r="A8" s="23" t="s">
        <v>66</v>
      </c>
      <c r="B8" s="89">
        <f>C8+D8</f>
        <v>37</v>
      </c>
      <c r="C8" s="89">
        <v>6</v>
      </c>
      <c r="D8" s="89">
        <v>31</v>
      </c>
      <c r="E8" s="89">
        <v>30000</v>
      </c>
      <c r="F8" s="89">
        <f>253564+25+31956-23545-3000</f>
        <v>259000</v>
      </c>
      <c r="G8" s="86">
        <f t="shared" si="0"/>
        <v>289000</v>
      </c>
      <c r="H8" s="94">
        <v>289000</v>
      </c>
      <c r="I8">
        <f>G8-H8</f>
        <v>0</v>
      </c>
    </row>
    <row r="9" spans="1:9" x14ac:dyDescent="0.25">
      <c r="A9" s="2"/>
    </row>
    <row r="10" spans="1:9" ht="15.75" thickBot="1" x14ac:dyDescent="0.3">
      <c r="A10" s="2" t="s">
        <v>67</v>
      </c>
    </row>
    <row r="11" spans="1:9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</row>
    <row r="12" spans="1:9" ht="15.75" thickBot="1" x14ac:dyDescent="0.3">
      <c r="A12" s="5" t="s">
        <v>13</v>
      </c>
      <c r="B12" s="7"/>
      <c r="C12" s="7"/>
      <c r="D12" s="7"/>
      <c r="E12" s="7"/>
      <c r="F12" s="7"/>
    </row>
    <row r="13" spans="1:9" ht="15.75" thickBot="1" x14ac:dyDescent="0.3">
      <c r="A13" s="5" t="s">
        <v>14</v>
      </c>
      <c r="B13" s="7">
        <f t="shared" ref="B13:B14" si="1">C13+E13</f>
        <v>9</v>
      </c>
      <c r="C13" s="7">
        <v>7</v>
      </c>
      <c r="D13" s="7">
        <v>30442</v>
      </c>
      <c r="E13" s="7">
        <v>2</v>
      </c>
      <c r="F13" s="7">
        <v>10247</v>
      </c>
    </row>
    <row r="14" spans="1:9" ht="15.75" thickBot="1" x14ac:dyDescent="0.3">
      <c r="A14" s="5" t="s">
        <v>15</v>
      </c>
      <c r="B14" s="7">
        <f t="shared" si="1"/>
        <v>28</v>
      </c>
      <c r="C14" s="7">
        <v>24</v>
      </c>
      <c r="D14" s="7">
        <f>276993-26890-507-20038-1000</f>
        <v>228558</v>
      </c>
      <c r="E14" s="7">
        <v>4</v>
      </c>
      <c r="F14" s="7">
        <v>19753</v>
      </c>
    </row>
    <row r="15" spans="1:9" x14ac:dyDescent="0.25">
      <c r="A15" s="2"/>
      <c r="B15">
        <f t="shared" ref="B15:C15" si="2">B12+B13+B14</f>
        <v>37</v>
      </c>
      <c r="C15">
        <f t="shared" si="2"/>
        <v>31</v>
      </c>
      <c r="D15">
        <f>SUM(D12:D14)</f>
        <v>259000</v>
      </c>
      <c r="E15">
        <f t="shared" ref="E15:F15" si="3">E12+E13+E14</f>
        <v>6</v>
      </c>
      <c r="F15">
        <f t="shared" si="3"/>
        <v>30000</v>
      </c>
      <c r="G15">
        <f>D15+F15</f>
        <v>289000</v>
      </c>
      <c r="H15">
        <v>330000</v>
      </c>
      <c r="I15">
        <f>G15-H15</f>
        <v>-41000</v>
      </c>
    </row>
    <row r="16" spans="1:9" ht="15.75" thickBot="1" x14ac:dyDescent="0.3">
      <c r="A16" s="2" t="s">
        <v>49</v>
      </c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7">
        <f t="shared" ref="B18:B19" si="4">F18+G18</f>
        <v>97712</v>
      </c>
      <c r="C18" s="7">
        <f t="shared" ref="C18:C19" si="5">D18+E18</f>
        <v>150</v>
      </c>
      <c r="D18" s="7">
        <v>70</v>
      </c>
      <c r="E18" s="7">
        <v>80</v>
      </c>
      <c r="F18" s="7">
        <v>47712</v>
      </c>
      <c r="G18" s="7">
        <v>50000</v>
      </c>
    </row>
    <row r="19" spans="1:7" ht="15.75" thickBot="1" x14ac:dyDescent="0.3">
      <c r="A19" s="9">
        <v>2021</v>
      </c>
      <c r="B19" s="7">
        <f t="shared" si="4"/>
        <v>97712</v>
      </c>
      <c r="C19" s="7">
        <f t="shared" si="5"/>
        <v>150</v>
      </c>
      <c r="D19" s="7">
        <v>70</v>
      </c>
      <c r="E19" s="7">
        <v>80</v>
      </c>
      <c r="F19" s="7">
        <v>47712</v>
      </c>
      <c r="G19" s="7">
        <v>50000</v>
      </c>
    </row>
    <row r="20" spans="1:7" ht="15.75" thickBot="1" x14ac:dyDescent="0.3">
      <c r="A20" s="9">
        <v>2022</v>
      </c>
      <c r="B20" s="7">
        <f t="shared" ref="B20:B21" si="6">F20+G20</f>
        <v>100000</v>
      </c>
      <c r="C20" s="7">
        <f t="shared" ref="C20:C21" si="7">D20+E20</f>
        <v>255</v>
      </c>
      <c r="D20" s="7">
        <v>130</v>
      </c>
      <c r="E20" s="7">
        <v>125</v>
      </c>
      <c r="F20" s="7">
        <v>50000</v>
      </c>
      <c r="G20" s="7">
        <v>50000</v>
      </c>
    </row>
    <row r="21" spans="1:7" ht="24" customHeight="1" thickBot="1" x14ac:dyDescent="0.3">
      <c r="A21" s="23" t="s">
        <v>66</v>
      </c>
      <c r="B21" s="7">
        <f t="shared" si="6"/>
        <v>120000</v>
      </c>
      <c r="C21" s="7">
        <f t="shared" si="7"/>
        <v>280</v>
      </c>
      <c r="D21" s="29">
        <v>140</v>
      </c>
      <c r="E21" s="30">
        <v>140</v>
      </c>
      <c r="F21" s="7">
        <v>60000</v>
      </c>
      <c r="G21" s="7">
        <v>60000</v>
      </c>
    </row>
    <row r="22" spans="1:7" ht="18.75" x14ac:dyDescent="0.25">
      <c r="A22" s="25"/>
      <c r="B22" s="26"/>
      <c r="C22" s="26"/>
      <c r="D22" s="26"/>
      <c r="E22" s="26"/>
      <c r="F22" s="26"/>
    </row>
    <row r="23" spans="1:7" ht="15.75" x14ac:dyDescent="0.25">
      <c r="A23" s="16" t="s">
        <v>51</v>
      </c>
      <c r="E23" s="122" t="s">
        <v>52</v>
      </c>
      <c r="F23" s="122"/>
      <c r="G23" s="122"/>
    </row>
    <row r="24" spans="1:7" x14ac:dyDescent="0.25">
      <c r="A24" s="11" t="s">
        <v>40</v>
      </c>
      <c r="B24" s="11" t="s">
        <v>45</v>
      </c>
      <c r="C24" s="11" t="s">
        <v>38</v>
      </c>
      <c r="D24" s="14"/>
      <c r="E24" s="11" t="s">
        <v>40</v>
      </c>
      <c r="F24" s="11" t="s">
        <v>56</v>
      </c>
      <c r="G24" s="11" t="s">
        <v>38</v>
      </c>
    </row>
    <row r="25" spans="1:7" x14ac:dyDescent="0.25">
      <c r="A25" s="12" t="s">
        <v>42</v>
      </c>
      <c r="B25" s="11">
        <f>C15</f>
        <v>31</v>
      </c>
      <c r="C25" s="13">
        <f>B25*100/B28</f>
        <v>83.78378378378379</v>
      </c>
      <c r="D25" s="15"/>
      <c r="E25" s="12" t="s">
        <v>42</v>
      </c>
      <c r="F25" s="11">
        <f>D15</f>
        <v>259000</v>
      </c>
      <c r="G25" s="13">
        <f>F25*100/F28</f>
        <v>89.61937716262976</v>
      </c>
    </row>
    <row r="26" spans="1:7" x14ac:dyDescent="0.25">
      <c r="A26" s="12" t="s">
        <v>43</v>
      </c>
      <c r="B26" s="11">
        <f>C8</f>
        <v>6</v>
      </c>
      <c r="C26" s="13">
        <f>B26*100/B28</f>
        <v>16.216216216216218</v>
      </c>
      <c r="D26" s="15"/>
      <c r="E26" s="12" t="s">
        <v>43</v>
      </c>
      <c r="F26" s="11">
        <f>F15</f>
        <v>30000</v>
      </c>
      <c r="G26" s="13">
        <f>F26*100/F28</f>
        <v>10.380622837370241</v>
      </c>
    </row>
    <row r="27" spans="1:7" x14ac:dyDescent="0.25">
      <c r="A27" s="17"/>
      <c r="B27" s="18"/>
      <c r="C27" s="19"/>
      <c r="D27" s="20"/>
      <c r="E27" s="17"/>
      <c r="F27" s="18"/>
      <c r="G27" s="19"/>
    </row>
    <row r="28" spans="1:7" x14ac:dyDescent="0.25">
      <c r="A28" s="11" t="s">
        <v>39</v>
      </c>
      <c r="B28" s="11">
        <f>SUM(B25:B27)</f>
        <v>37</v>
      </c>
      <c r="C28" s="13">
        <f>C27+C26+C25</f>
        <v>100</v>
      </c>
      <c r="D28" s="15"/>
      <c r="E28" s="11" t="s">
        <v>39</v>
      </c>
      <c r="F28" s="11">
        <f>SUM(F25:F27)</f>
        <v>289000</v>
      </c>
      <c r="G28" s="13">
        <f>G27+G26+G25</f>
        <v>100</v>
      </c>
    </row>
  </sheetData>
  <mergeCells count="3">
    <mergeCell ref="A1:G1"/>
    <mergeCell ref="A2:F2"/>
    <mergeCell ref="E23:G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workbookViewId="0">
      <selection activeCell="G30" sqref="A1:G30"/>
    </sheetView>
  </sheetViews>
  <sheetFormatPr defaultRowHeight="15" x14ac:dyDescent="0.25"/>
  <cols>
    <col min="1" max="1" width="12.140625" customWidth="1"/>
    <col min="2" max="2" width="12.42578125" customWidth="1"/>
    <col min="3" max="3" width="12" customWidth="1"/>
    <col min="4" max="4" width="12.28515625" customWidth="1"/>
    <col min="5" max="5" width="12.140625" customWidth="1"/>
    <col min="6" max="6" width="12.5703125" customWidth="1"/>
    <col min="7" max="7" width="13.42578125" customWidth="1"/>
  </cols>
  <sheetData>
    <row r="1" spans="1:9" ht="91.5" customHeight="1" x14ac:dyDescent="0.25">
      <c r="A1" s="1" t="s">
        <v>58</v>
      </c>
      <c r="B1" s="1"/>
    </row>
    <row r="2" spans="1:9" ht="15.75" x14ac:dyDescent="0.25">
      <c r="A2" s="1" t="s">
        <v>26</v>
      </c>
    </row>
    <row r="3" spans="1:9" ht="15.75" thickBot="1" x14ac:dyDescent="0.3">
      <c r="A3" s="2" t="s">
        <v>48</v>
      </c>
    </row>
    <row r="4" spans="1:9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9" ht="15.75" thickBot="1" x14ac:dyDescent="0.3">
      <c r="A5" s="9">
        <v>2020</v>
      </c>
      <c r="B5" s="52">
        <v>27</v>
      </c>
      <c r="C5" s="52">
        <v>9</v>
      </c>
      <c r="D5" s="53">
        <v>18</v>
      </c>
      <c r="E5" s="52">
        <f>31000+300-2000</f>
        <v>29300</v>
      </c>
      <c r="F5" s="52">
        <f>64287+23-4000+690+2000</f>
        <v>63000</v>
      </c>
      <c r="G5">
        <f t="shared" ref="G5:G7" si="0">E5+F5</f>
        <v>92300</v>
      </c>
      <c r="H5" s="76">
        <v>91133</v>
      </c>
      <c r="I5">
        <f>H5-G5</f>
        <v>-1167</v>
      </c>
    </row>
    <row r="6" spans="1:9" ht="15.75" thickBot="1" x14ac:dyDescent="0.3">
      <c r="A6" s="9">
        <v>2021</v>
      </c>
      <c r="B6" s="52">
        <v>27</v>
      </c>
      <c r="C6" s="52">
        <v>9</v>
      </c>
      <c r="D6" s="53">
        <v>18</v>
      </c>
      <c r="E6" s="52">
        <v>29300</v>
      </c>
      <c r="F6" s="52">
        <v>63000</v>
      </c>
      <c r="G6">
        <f t="shared" si="0"/>
        <v>92300</v>
      </c>
      <c r="H6" s="76">
        <v>91316</v>
      </c>
      <c r="I6">
        <f>H6-G6</f>
        <v>-984</v>
      </c>
    </row>
    <row r="7" spans="1:9" ht="15.75" thickBot="1" x14ac:dyDescent="0.3">
      <c r="A7" s="9">
        <v>2022</v>
      </c>
      <c r="B7" s="52">
        <v>27</v>
      </c>
      <c r="C7" s="52">
        <v>9</v>
      </c>
      <c r="D7" s="53">
        <v>18</v>
      </c>
      <c r="E7" s="52">
        <f>31000+300-2000</f>
        <v>29300</v>
      </c>
      <c r="F7" s="52">
        <f>64287+23-4000+690+2000</f>
        <v>63000</v>
      </c>
      <c r="G7">
        <f t="shared" si="0"/>
        <v>92300</v>
      </c>
      <c r="H7" s="76">
        <v>92370</v>
      </c>
      <c r="I7">
        <f>H7-G7</f>
        <v>70</v>
      </c>
    </row>
    <row r="8" spans="1:9" ht="21" x14ac:dyDescent="0.25">
      <c r="A8" s="23" t="s">
        <v>66</v>
      </c>
      <c r="B8" s="52">
        <v>27</v>
      </c>
      <c r="C8" s="52">
        <v>9</v>
      </c>
      <c r="D8" s="53">
        <v>18</v>
      </c>
      <c r="E8" s="52">
        <v>30500</v>
      </c>
      <c r="F8" s="52">
        <f>64287+23-4000+690+3500</f>
        <v>64500</v>
      </c>
      <c r="G8">
        <f>E8+F8</f>
        <v>95000</v>
      </c>
      <c r="H8" s="76">
        <v>95000</v>
      </c>
      <c r="I8">
        <f>H8-G8</f>
        <v>0</v>
      </c>
    </row>
    <row r="9" spans="1:9" x14ac:dyDescent="0.25">
      <c r="A9" s="2"/>
    </row>
    <row r="10" spans="1:9" ht="15.75" thickBot="1" x14ac:dyDescent="0.3">
      <c r="A10" s="2" t="s">
        <v>67</v>
      </c>
    </row>
    <row r="11" spans="1:9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</row>
    <row r="12" spans="1:9" ht="15.75" thickBot="1" x14ac:dyDescent="0.3">
      <c r="A12" s="5" t="s">
        <v>13</v>
      </c>
      <c r="B12" s="44">
        <f>C12+E12</f>
        <v>26</v>
      </c>
      <c r="C12" s="44">
        <v>17</v>
      </c>
      <c r="D12" s="44">
        <v>55250</v>
      </c>
      <c r="E12" s="44">
        <v>9</v>
      </c>
      <c r="F12" s="44">
        <v>30500</v>
      </c>
    </row>
    <row r="13" spans="1:9" ht="15.75" thickBot="1" x14ac:dyDescent="0.3">
      <c r="A13" s="5" t="s">
        <v>14</v>
      </c>
      <c r="B13" s="44">
        <f t="shared" ref="B13:B14" si="1">C13+E13</f>
        <v>0</v>
      </c>
      <c r="C13" s="44"/>
      <c r="D13" s="44"/>
      <c r="E13" s="44"/>
      <c r="F13" s="44"/>
    </row>
    <row r="14" spans="1:9" ht="15.75" thickBot="1" x14ac:dyDescent="0.3">
      <c r="A14" s="5" t="s">
        <v>15</v>
      </c>
      <c r="B14" s="44">
        <f t="shared" si="1"/>
        <v>1</v>
      </c>
      <c r="C14" s="44">
        <v>1</v>
      </c>
      <c r="D14" s="44">
        <v>9250</v>
      </c>
      <c r="E14" s="44">
        <v>0</v>
      </c>
      <c r="F14" s="44">
        <v>0</v>
      </c>
    </row>
    <row r="15" spans="1:9" x14ac:dyDescent="0.25">
      <c r="A15" s="2"/>
      <c r="B15">
        <f>C15+E15</f>
        <v>27</v>
      </c>
      <c r="C15">
        <f>SUM(C12:C14)</f>
        <v>18</v>
      </c>
      <c r="D15">
        <f>D12+D13+D14</f>
        <v>64500</v>
      </c>
      <c r="E15">
        <f t="shared" ref="E15:F15" si="2">E12+E13+E14</f>
        <v>9</v>
      </c>
      <c r="F15">
        <f t="shared" si="2"/>
        <v>30500</v>
      </c>
      <c r="G15">
        <f>D15+F15</f>
        <v>95000</v>
      </c>
    </row>
    <row r="16" spans="1:9" ht="15.75" thickBot="1" x14ac:dyDescent="0.3">
      <c r="A16" s="2" t="s">
        <v>49</v>
      </c>
    </row>
    <row r="17" spans="1:7" ht="39" thickBot="1" x14ac:dyDescent="0.3">
      <c r="A17" s="9">
        <v>2019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7"/>
      <c r="C18" s="7"/>
      <c r="D18" s="7"/>
      <c r="E18" s="7"/>
      <c r="F18" s="7"/>
      <c r="G18" s="7"/>
    </row>
    <row r="19" spans="1:7" ht="15.75" thickBot="1" x14ac:dyDescent="0.3">
      <c r="A19" s="9">
        <v>2021</v>
      </c>
      <c r="B19" s="7"/>
      <c r="C19" s="7"/>
      <c r="D19" s="7"/>
      <c r="E19" s="7"/>
      <c r="F19" s="7"/>
      <c r="G19" s="7"/>
    </row>
    <row r="20" spans="1:7" ht="15.75" thickBot="1" x14ac:dyDescent="0.3">
      <c r="A20" s="9">
        <v>2022</v>
      </c>
      <c r="B20" s="7"/>
      <c r="C20" s="7"/>
      <c r="D20" s="7"/>
      <c r="E20" s="7"/>
      <c r="F20" s="7"/>
      <c r="G20" s="7"/>
    </row>
    <row r="21" spans="1:7" ht="21.75" thickBot="1" x14ac:dyDescent="0.3">
      <c r="A21" s="23" t="s">
        <v>66</v>
      </c>
      <c r="B21" s="3"/>
      <c r="C21" s="31"/>
      <c r="D21" s="3"/>
      <c r="E21" s="3"/>
      <c r="F21" s="3"/>
      <c r="G21" s="3"/>
    </row>
    <row r="23" spans="1:7" ht="15.75" x14ac:dyDescent="0.25">
      <c r="A23" s="16" t="s">
        <v>51</v>
      </c>
      <c r="E23" s="1" t="s">
        <v>53</v>
      </c>
    </row>
    <row r="24" spans="1:7" x14ac:dyDescent="0.25">
      <c r="A24" s="11" t="s">
        <v>40</v>
      </c>
      <c r="B24" s="11" t="s">
        <v>45</v>
      </c>
      <c r="C24" s="11" t="s">
        <v>38</v>
      </c>
      <c r="D24" s="14"/>
      <c r="E24" s="11" t="s">
        <v>40</v>
      </c>
      <c r="F24" s="11" t="s">
        <v>57</v>
      </c>
      <c r="G24" s="11" t="s">
        <v>38</v>
      </c>
    </row>
    <row r="25" spans="1:7" x14ac:dyDescent="0.25">
      <c r="A25" s="12" t="s">
        <v>42</v>
      </c>
      <c r="B25" s="11">
        <v>18</v>
      </c>
      <c r="C25" s="13">
        <f>B25*100/B28</f>
        <v>66.666666666666671</v>
      </c>
      <c r="D25" s="15"/>
      <c r="E25" s="12" t="s">
        <v>42</v>
      </c>
      <c r="F25" s="11">
        <f>D15</f>
        <v>64500</v>
      </c>
      <c r="G25" s="13">
        <f>F25*100/F28</f>
        <v>67.89473684210526</v>
      </c>
    </row>
    <row r="26" spans="1:7" x14ac:dyDescent="0.25">
      <c r="A26" s="12" t="s">
        <v>43</v>
      </c>
      <c r="B26" s="11">
        <v>9</v>
      </c>
      <c r="C26" s="13">
        <f>B26*100/B28</f>
        <v>33.333333333333336</v>
      </c>
      <c r="D26" s="15"/>
      <c r="E26" s="12" t="s">
        <v>43</v>
      </c>
      <c r="F26" s="11">
        <f>F15</f>
        <v>30500</v>
      </c>
      <c r="G26" s="13">
        <f>F26*100/F28</f>
        <v>32.10526315789474</v>
      </c>
    </row>
    <row r="27" spans="1:7" x14ac:dyDescent="0.25">
      <c r="A27" s="17"/>
      <c r="B27" s="18"/>
      <c r="C27" s="19"/>
      <c r="D27" s="20"/>
      <c r="E27" s="17"/>
      <c r="F27" s="18"/>
      <c r="G27" s="19"/>
    </row>
    <row r="28" spans="1:7" x14ac:dyDescent="0.25">
      <c r="A28" s="11" t="s">
        <v>39</v>
      </c>
      <c r="B28" s="11">
        <f>SUM(B25:B27)</f>
        <v>27</v>
      </c>
      <c r="C28" s="13">
        <f>C27+C26+C25</f>
        <v>100</v>
      </c>
      <c r="D28" s="15"/>
      <c r="E28" s="11" t="s">
        <v>39</v>
      </c>
      <c r="F28" s="11">
        <f>SUM(F25:F27)</f>
        <v>95000</v>
      </c>
      <c r="G28" s="13">
        <f>G27+G26+G25</f>
        <v>100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workbookViewId="0">
      <selection activeCell="G32" sqref="A1:G32"/>
    </sheetView>
  </sheetViews>
  <sheetFormatPr defaultRowHeight="15" x14ac:dyDescent="0.25"/>
  <cols>
    <col min="1" max="2" width="11.5703125" customWidth="1"/>
    <col min="3" max="3" width="10.85546875" customWidth="1"/>
    <col min="4" max="4" width="11.42578125" customWidth="1"/>
    <col min="5" max="5" width="12.28515625" customWidth="1"/>
    <col min="6" max="6" width="12.7109375" customWidth="1"/>
    <col min="7" max="7" width="12.42578125" customWidth="1"/>
  </cols>
  <sheetData>
    <row r="1" spans="1:10" ht="84" customHeight="1" x14ac:dyDescent="0.25">
      <c r="A1" s="1" t="s">
        <v>58</v>
      </c>
      <c r="B1" s="1"/>
      <c r="C1" s="50"/>
      <c r="D1" s="50"/>
      <c r="E1" s="50"/>
      <c r="F1" s="50"/>
      <c r="G1" s="50"/>
    </row>
    <row r="2" spans="1:10" ht="15.75" x14ac:dyDescent="0.25">
      <c r="A2" s="1" t="s">
        <v>28</v>
      </c>
      <c r="B2" s="50"/>
      <c r="C2" s="50"/>
      <c r="D2" s="50"/>
      <c r="E2" s="50"/>
      <c r="F2" s="50"/>
      <c r="G2" s="50"/>
    </row>
    <row r="3" spans="1:10" ht="15.75" thickBot="1" x14ac:dyDescent="0.3">
      <c r="A3" s="2" t="s">
        <v>48</v>
      </c>
      <c r="B3" s="50"/>
      <c r="C3" s="50"/>
      <c r="D3" s="50"/>
      <c r="E3" s="50"/>
      <c r="F3" s="50"/>
      <c r="G3" s="50"/>
    </row>
    <row r="4" spans="1:10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0"/>
    </row>
    <row r="5" spans="1:10" ht="15.75" thickBot="1" x14ac:dyDescent="0.3">
      <c r="A5" s="9">
        <v>2020</v>
      </c>
      <c r="B5" s="45">
        <v>35</v>
      </c>
      <c r="C5" s="45">
        <v>6</v>
      </c>
      <c r="D5" s="45">
        <v>29</v>
      </c>
      <c r="E5" s="45">
        <v>36000</v>
      </c>
      <c r="F5" s="45">
        <v>179000</v>
      </c>
      <c r="G5" s="50">
        <f t="shared" ref="G5:G6" si="0">E5+F5</f>
        <v>215000</v>
      </c>
    </row>
    <row r="6" spans="1:10" ht="15.75" thickBot="1" x14ac:dyDescent="0.3">
      <c r="A6" s="9">
        <v>2021</v>
      </c>
      <c r="B6" s="52">
        <v>35</v>
      </c>
      <c r="C6" s="52">
        <v>6</v>
      </c>
      <c r="D6" s="52">
        <v>29</v>
      </c>
      <c r="E6" s="52">
        <f>31332</f>
        <v>31332</v>
      </c>
      <c r="F6" s="52">
        <f>148661+536+4461-8883</f>
        <v>144775</v>
      </c>
      <c r="G6" s="50">
        <f t="shared" si="0"/>
        <v>176107</v>
      </c>
      <c r="H6" s="76">
        <v>180529</v>
      </c>
    </row>
    <row r="7" spans="1:10" ht="18" customHeight="1" x14ac:dyDescent="0.25">
      <c r="A7" s="118">
        <v>2022</v>
      </c>
      <c r="B7" s="52">
        <v>35</v>
      </c>
      <c r="C7" s="52">
        <v>6</v>
      </c>
      <c r="D7" s="52">
        <v>29</v>
      </c>
      <c r="E7" s="52">
        <v>30854</v>
      </c>
      <c r="F7" s="52">
        <f>179000-17700-854</f>
        <v>160446</v>
      </c>
      <c r="G7" s="50">
        <f>E7+F7</f>
        <v>191300</v>
      </c>
      <c r="H7">
        <v>176107</v>
      </c>
    </row>
    <row r="8" spans="1:10" ht="27" customHeight="1" x14ac:dyDescent="0.25">
      <c r="A8" s="23" t="s">
        <v>66</v>
      </c>
      <c r="B8" s="52">
        <f>C8+D8</f>
        <v>35</v>
      </c>
      <c r="C8" s="52">
        <v>8</v>
      </c>
      <c r="D8" s="52">
        <v>27</v>
      </c>
      <c r="E8" s="52">
        <v>46167</v>
      </c>
      <c r="F8" s="52">
        <v>144393</v>
      </c>
      <c r="G8" s="50">
        <f>F8+E8</f>
        <v>190560</v>
      </c>
      <c r="H8" s="110">
        <v>190560</v>
      </c>
      <c r="I8">
        <f>G8-H8</f>
        <v>0</v>
      </c>
    </row>
    <row r="9" spans="1:10" x14ac:dyDescent="0.25">
      <c r="A9" s="2"/>
      <c r="B9" s="50"/>
      <c r="C9" s="50"/>
      <c r="D9" s="50"/>
      <c r="E9" s="50"/>
      <c r="F9" s="50"/>
      <c r="G9" s="50"/>
    </row>
    <row r="10" spans="1:10" ht="15.75" thickBot="1" x14ac:dyDescent="0.3">
      <c r="A10" s="2" t="s">
        <v>67</v>
      </c>
      <c r="B10" s="50"/>
      <c r="C10" s="50"/>
      <c r="D10" s="50"/>
      <c r="E10" s="50"/>
      <c r="F10" s="50"/>
      <c r="G10" s="50"/>
    </row>
    <row r="11" spans="1:10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50"/>
    </row>
    <row r="12" spans="1:10" ht="15.75" thickBot="1" x14ac:dyDescent="0.3">
      <c r="A12" s="5" t="s">
        <v>13</v>
      </c>
      <c r="B12" s="44">
        <v>6</v>
      </c>
      <c r="C12" s="44">
        <v>5</v>
      </c>
      <c r="D12" s="44">
        <v>21937</v>
      </c>
      <c r="E12" s="44">
        <v>1</v>
      </c>
      <c r="F12" s="44">
        <v>4176</v>
      </c>
      <c r="G12" s="50"/>
    </row>
    <row r="13" spans="1:10" ht="15.75" thickBot="1" x14ac:dyDescent="0.3">
      <c r="A13" s="5" t="s">
        <v>14</v>
      </c>
      <c r="B13" s="44">
        <f>C13+E13</f>
        <v>28</v>
      </c>
      <c r="C13" s="44">
        <v>21</v>
      </c>
      <c r="D13" s="44">
        <f>112376</f>
        <v>112376</v>
      </c>
      <c r="E13" s="44">
        <v>7</v>
      </c>
      <c r="F13" s="44">
        <v>41991</v>
      </c>
      <c r="G13" s="50"/>
    </row>
    <row r="14" spans="1:10" ht="15.75" thickBot="1" x14ac:dyDescent="0.3">
      <c r="A14" s="5" t="s">
        <v>15</v>
      </c>
      <c r="B14" s="44">
        <f>C14+E14</f>
        <v>1</v>
      </c>
      <c r="C14" s="44">
        <v>1</v>
      </c>
      <c r="D14" s="44">
        <f>840*12</f>
        <v>10080</v>
      </c>
      <c r="E14" s="44">
        <v>0</v>
      </c>
      <c r="F14" s="44">
        <v>0</v>
      </c>
      <c r="G14" s="50"/>
    </row>
    <row r="15" spans="1:10" x14ac:dyDescent="0.25">
      <c r="A15" s="2"/>
      <c r="B15" s="50">
        <f>SUM(B12:B14)</f>
        <v>35</v>
      </c>
      <c r="C15" s="50">
        <f t="shared" ref="C15:F15" si="1">SUM(C12:C14)</f>
        <v>27</v>
      </c>
      <c r="D15" s="50">
        <f t="shared" si="1"/>
        <v>144393</v>
      </c>
      <c r="E15" s="50">
        <f t="shared" si="1"/>
        <v>8</v>
      </c>
      <c r="F15" s="50">
        <f t="shared" si="1"/>
        <v>46167</v>
      </c>
      <c r="G15" s="50"/>
      <c r="H15">
        <f>D15+F15</f>
        <v>190560</v>
      </c>
      <c r="I15">
        <v>190560</v>
      </c>
      <c r="J15">
        <f>H15-I15</f>
        <v>0</v>
      </c>
    </row>
    <row r="16" spans="1:10" ht="15.75" thickBot="1" x14ac:dyDescent="0.3">
      <c r="A16" s="2" t="s">
        <v>49</v>
      </c>
      <c r="B16" s="50"/>
      <c r="C16" s="50"/>
      <c r="D16" s="50"/>
      <c r="E16" s="50"/>
      <c r="F16" s="50"/>
      <c r="G16" s="50"/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7"/>
      <c r="C18" s="7"/>
      <c r="D18" s="7"/>
      <c r="E18" s="7"/>
      <c r="F18" s="7"/>
      <c r="G18" s="7"/>
    </row>
    <row r="19" spans="1:7" ht="15.75" thickBot="1" x14ac:dyDescent="0.3">
      <c r="A19" s="9">
        <v>2021</v>
      </c>
      <c r="B19" s="7"/>
      <c r="C19" s="7"/>
      <c r="D19" s="7"/>
      <c r="E19" s="7"/>
      <c r="F19" s="7"/>
      <c r="G19" s="7"/>
    </row>
    <row r="20" spans="1:7" ht="15.75" thickBot="1" x14ac:dyDescent="0.3">
      <c r="A20" s="9">
        <v>2022</v>
      </c>
      <c r="B20" s="7"/>
      <c r="C20" s="7"/>
      <c r="D20" s="7"/>
      <c r="E20" s="7"/>
      <c r="F20" s="7"/>
      <c r="G20" s="7"/>
    </row>
    <row r="21" spans="1:7" ht="21.75" thickBot="1" x14ac:dyDescent="0.3">
      <c r="A21" s="23" t="s">
        <v>66</v>
      </c>
      <c r="B21" s="3"/>
      <c r="C21" s="31"/>
      <c r="D21" s="3"/>
      <c r="E21" s="31"/>
      <c r="F21" s="3"/>
      <c r="G21" s="3"/>
    </row>
    <row r="22" spans="1:7" x14ac:dyDescent="0.25">
      <c r="A22" s="50"/>
      <c r="B22" s="50"/>
      <c r="C22" s="50"/>
      <c r="D22" s="50"/>
      <c r="E22" s="50"/>
      <c r="F22" s="50"/>
      <c r="G22" s="50"/>
    </row>
    <row r="23" spans="1:7" ht="15.75" x14ac:dyDescent="0.25">
      <c r="A23" s="100" t="s">
        <v>51</v>
      </c>
      <c r="B23" s="50"/>
      <c r="C23" s="50"/>
      <c r="D23" s="50"/>
      <c r="E23" s="1" t="s">
        <v>52</v>
      </c>
      <c r="F23" s="50"/>
      <c r="G23" s="50"/>
    </row>
    <row r="24" spans="1:7" x14ac:dyDescent="0.25">
      <c r="A24" s="101" t="s">
        <v>40</v>
      </c>
      <c r="B24" s="101" t="s">
        <v>45</v>
      </c>
      <c r="C24" s="101" t="s">
        <v>38</v>
      </c>
      <c r="D24" s="102"/>
      <c r="E24" s="101" t="s">
        <v>40</v>
      </c>
      <c r="F24" s="101" t="s">
        <v>57</v>
      </c>
      <c r="G24" s="101" t="s">
        <v>38</v>
      </c>
    </row>
    <row r="25" spans="1:7" x14ac:dyDescent="0.25">
      <c r="A25" s="103" t="s">
        <v>42</v>
      </c>
      <c r="B25" s="101">
        <f>D8</f>
        <v>27</v>
      </c>
      <c r="C25" s="104">
        <f>B25*100/B28</f>
        <v>77.142857142857139</v>
      </c>
      <c r="D25" s="105"/>
      <c r="E25" s="103" t="s">
        <v>42</v>
      </c>
      <c r="F25" s="101">
        <f>D15</f>
        <v>144393</v>
      </c>
      <c r="G25" s="104">
        <f>F25*100/F28</f>
        <v>75.77298488664988</v>
      </c>
    </row>
    <row r="26" spans="1:7" x14ac:dyDescent="0.25">
      <c r="A26" s="103" t="s">
        <v>43</v>
      </c>
      <c r="B26" s="101">
        <f>C8</f>
        <v>8</v>
      </c>
      <c r="C26" s="104">
        <f>B26*100/B28</f>
        <v>22.857142857142858</v>
      </c>
      <c r="D26" s="105"/>
      <c r="E26" s="103" t="s">
        <v>43</v>
      </c>
      <c r="F26" s="101">
        <f>F15</f>
        <v>46167</v>
      </c>
      <c r="G26" s="104">
        <f>F26*100/F28</f>
        <v>24.227015113350127</v>
      </c>
    </row>
    <row r="27" spans="1:7" x14ac:dyDescent="0.25">
      <c r="A27" s="106"/>
      <c r="B27" s="107"/>
      <c r="C27" s="108"/>
      <c r="D27" s="109"/>
      <c r="E27" s="106"/>
      <c r="F27" s="107"/>
      <c r="G27" s="108"/>
    </row>
    <row r="28" spans="1:7" x14ac:dyDescent="0.25">
      <c r="A28" s="101" t="s">
        <v>39</v>
      </c>
      <c r="B28" s="101">
        <f>SUM(B25:B27)</f>
        <v>35</v>
      </c>
      <c r="C28" s="104">
        <f>C27+C26+C25</f>
        <v>100</v>
      </c>
      <c r="D28" s="105"/>
      <c r="E28" s="101" t="s">
        <v>39</v>
      </c>
      <c r="F28" s="101">
        <f>SUM(F25:F27)</f>
        <v>190560</v>
      </c>
      <c r="G28" s="104">
        <f>G27+G26+G25</f>
        <v>100</v>
      </c>
    </row>
    <row r="29" spans="1:7" x14ac:dyDescent="0.25">
      <c r="A29" s="50"/>
      <c r="B29" s="50"/>
      <c r="C29" s="50"/>
      <c r="D29" s="50"/>
      <c r="E29" s="50"/>
      <c r="F29" s="50"/>
      <c r="G29" s="50"/>
    </row>
    <row r="30" spans="1:7" x14ac:dyDescent="0.25">
      <c r="A30" s="50"/>
      <c r="B30" s="50"/>
      <c r="C30" s="50"/>
      <c r="D30" s="50"/>
      <c r="E30" s="50"/>
      <c r="F30" s="50"/>
      <c r="G30" s="5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workbookViewId="0">
      <selection activeCell="G31" sqref="A1:G31"/>
    </sheetView>
  </sheetViews>
  <sheetFormatPr defaultRowHeight="15" x14ac:dyDescent="0.25"/>
  <cols>
    <col min="2" max="2" width="12" customWidth="1"/>
    <col min="3" max="4" width="12.140625" customWidth="1"/>
    <col min="5" max="5" width="12.85546875" customWidth="1"/>
    <col min="6" max="6" width="11.85546875" customWidth="1"/>
    <col min="7" max="7" width="13.140625" customWidth="1"/>
  </cols>
  <sheetData>
    <row r="1" spans="1:8" ht="95.25" customHeight="1" x14ac:dyDescent="0.25">
      <c r="A1" s="1" t="s">
        <v>58</v>
      </c>
      <c r="B1" s="1"/>
      <c r="C1" s="50"/>
      <c r="D1" s="50"/>
      <c r="E1" s="50"/>
      <c r="F1" s="50"/>
      <c r="G1" s="50"/>
    </row>
    <row r="2" spans="1:8" ht="15.75" x14ac:dyDescent="0.25">
      <c r="A2" s="1" t="s">
        <v>27</v>
      </c>
      <c r="B2" s="50"/>
      <c r="C2" s="50"/>
      <c r="D2" s="50"/>
      <c r="E2" s="50"/>
      <c r="F2" s="50"/>
      <c r="G2" s="50"/>
    </row>
    <row r="3" spans="1:8" ht="15.75" thickBot="1" x14ac:dyDescent="0.3">
      <c r="A3" s="2" t="s">
        <v>48</v>
      </c>
      <c r="B3" s="50"/>
      <c r="C3" s="50"/>
      <c r="D3" s="50"/>
      <c r="E3" s="50"/>
      <c r="F3" s="50"/>
      <c r="G3" s="50"/>
    </row>
    <row r="4" spans="1:8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0"/>
    </row>
    <row r="5" spans="1:8" ht="15.75" thickBot="1" x14ac:dyDescent="0.3">
      <c r="A5" s="9">
        <v>2020</v>
      </c>
      <c r="B5" s="44">
        <v>12</v>
      </c>
      <c r="C5" s="44">
        <v>0</v>
      </c>
      <c r="D5" s="44">
        <v>12</v>
      </c>
      <c r="E5" s="44">
        <v>0</v>
      </c>
      <c r="F5" s="44">
        <v>72500</v>
      </c>
      <c r="G5" s="50"/>
      <c r="H5" s="76"/>
    </row>
    <row r="6" spans="1:8" ht="15.75" thickBot="1" x14ac:dyDescent="0.3">
      <c r="A6" s="9">
        <v>2021</v>
      </c>
      <c r="B6" s="44">
        <v>12</v>
      </c>
      <c r="C6" s="44">
        <v>0</v>
      </c>
      <c r="D6" s="44">
        <v>12</v>
      </c>
      <c r="E6" s="44">
        <v>0</v>
      </c>
      <c r="F6" s="44">
        <v>73000</v>
      </c>
      <c r="G6" s="50"/>
    </row>
    <row r="7" spans="1:8" ht="15.75" thickBot="1" x14ac:dyDescent="0.3">
      <c r="A7" s="9">
        <v>2022</v>
      </c>
      <c r="B7" s="43">
        <f>D7</f>
        <v>9</v>
      </c>
      <c r="C7" s="43">
        <v>0</v>
      </c>
      <c r="D7" s="43">
        <v>9</v>
      </c>
      <c r="E7" s="43">
        <v>0</v>
      </c>
      <c r="F7" s="43">
        <v>52000</v>
      </c>
      <c r="G7" s="50"/>
    </row>
    <row r="8" spans="1:8" ht="32.25" thickBot="1" x14ac:dyDescent="0.3">
      <c r="A8" s="23" t="s">
        <v>66</v>
      </c>
      <c r="B8" s="43">
        <f>D8</f>
        <v>9</v>
      </c>
      <c r="C8" s="43">
        <v>0</v>
      </c>
      <c r="D8" s="43">
        <v>9</v>
      </c>
      <c r="E8" s="43">
        <v>0</v>
      </c>
      <c r="F8" s="43">
        <v>55330</v>
      </c>
      <c r="G8" s="50"/>
    </row>
    <row r="9" spans="1:8" x14ac:dyDescent="0.25">
      <c r="A9" s="2"/>
      <c r="B9" s="50"/>
      <c r="C9" s="50"/>
      <c r="D9" s="50"/>
      <c r="E9" s="50"/>
      <c r="F9" s="50"/>
      <c r="G9" s="50"/>
    </row>
    <row r="10" spans="1:8" ht="15.75" thickBot="1" x14ac:dyDescent="0.3">
      <c r="A10" s="2" t="s">
        <v>67</v>
      </c>
      <c r="B10" s="50"/>
      <c r="C10" s="50"/>
      <c r="D10" s="50"/>
      <c r="E10" s="50"/>
      <c r="F10" s="50"/>
      <c r="G10" s="50"/>
    </row>
    <row r="11" spans="1:8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50"/>
    </row>
    <row r="12" spans="1:8" ht="15.75" thickBot="1" x14ac:dyDescent="0.3">
      <c r="A12" s="5" t="s">
        <v>13</v>
      </c>
      <c r="B12" s="44">
        <f t="shared" ref="B12:B13" si="0">C12</f>
        <v>0</v>
      </c>
      <c r="C12" s="44">
        <v>0</v>
      </c>
      <c r="D12" s="44">
        <v>0</v>
      </c>
      <c r="E12" s="44">
        <v>0</v>
      </c>
      <c r="F12" s="44">
        <v>0</v>
      </c>
      <c r="G12" s="50"/>
    </row>
    <row r="13" spans="1:8" ht="15.75" thickBot="1" x14ac:dyDescent="0.3">
      <c r="A13" s="5" t="s">
        <v>14</v>
      </c>
      <c r="B13" s="44">
        <f t="shared" si="0"/>
        <v>9</v>
      </c>
      <c r="C13" s="44">
        <v>9</v>
      </c>
      <c r="D13" s="44">
        <v>55330</v>
      </c>
      <c r="E13" s="44">
        <v>0</v>
      </c>
      <c r="F13" s="44">
        <v>0</v>
      </c>
      <c r="G13" s="50"/>
    </row>
    <row r="14" spans="1:8" ht="15.75" thickBot="1" x14ac:dyDescent="0.3">
      <c r="A14" s="5" t="s">
        <v>15</v>
      </c>
      <c r="B14" s="44">
        <f>C14</f>
        <v>0</v>
      </c>
      <c r="C14" s="44"/>
      <c r="D14" s="44"/>
      <c r="E14" s="44">
        <v>0</v>
      </c>
      <c r="F14" s="44"/>
      <c r="G14" s="50"/>
    </row>
    <row r="15" spans="1:8" x14ac:dyDescent="0.25">
      <c r="A15" s="2"/>
      <c r="B15" s="50"/>
      <c r="C15" s="50"/>
      <c r="D15" s="50"/>
      <c r="E15" s="50"/>
      <c r="F15" s="50"/>
      <c r="G15" s="50"/>
    </row>
    <row r="16" spans="1:8" ht="15.75" thickBot="1" x14ac:dyDescent="0.3">
      <c r="A16" s="2" t="s">
        <v>49</v>
      </c>
      <c r="B16" s="50"/>
      <c r="C16" s="50"/>
      <c r="D16" s="50"/>
      <c r="E16" s="50"/>
      <c r="F16" s="50"/>
      <c r="G16" s="50"/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7"/>
      <c r="C18" s="7"/>
      <c r="D18" s="7"/>
      <c r="E18" s="7"/>
      <c r="F18" s="7"/>
      <c r="G18" s="7"/>
    </row>
    <row r="19" spans="1:7" ht="15.75" thickBot="1" x14ac:dyDescent="0.3">
      <c r="A19" s="9">
        <v>2021</v>
      </c>
      <c r="B19" s="7"/>
      <c r="C19" s="7"/>
      <c r="D19" s="7"/>
      <c r="E19" s="7"/>
      <c r="F19" s="7"/>
      <c r="G19" s="7"/>
    </row>
    <row r="20" spans="1:7" ht="15.75" thickBot="1" x14ac:dyDescent="0.3">
      <c r="A20" s="9">
        <v>2022</v>
      </c>
      <c r="B20" s="7"/>
      <c r="C20" s="7"/>
      <c r="D20" s="7"/>
      <c r="E20" s="7"/>
      <c r="F20" s="7"/>
      <c r="G20" s="7"/>
    </row>
    <row r="21" spans="1:7" ht="32.25" thickBot="1" x14ac:dyDescent="0.3">
      <c r="A21" s="23" t="s">
        <v>66</v>
      </c>
      <c r="B21" s="36"/>
      <c r="C21" s="36"/>
      <c r="D21" s="36"/>
      <c r="E21" s="36"/>
      <c r="F21" s="36"/>
      <c r="G21" s="3"/>
    </row>
    <row r="22" spans="1:7" x14ac:dyDescent="0.25">
      <c r="A22" s="50"/>
      <c r="B22" s="50"/>
      <c r="C22" s="50"/>
      <c r="D22" s="50"/>
      <c r="E22" s="50"/>
      <c r="F22" s="50"/>
      <c r="G22" s="50"/>
    </row>
    <row r="23" spans="1:7" ht="15.75" x14ac:dyDescent="0.25">
      <c r="A23" s="100" t="s">
        <v>51</v>
      </c>
      <c r="B23" s="50"/>
      <c r="C23" s="50"/>
      <c r="D23" s="50"/>
      <c r="E23" s="1" t="s">
        <v>54</v>
      </c>
      <c r="F23" s="50"/>
      <c r="G23" s="50"/>
    </row>
    <row r="24" spans="1:7" x14ac:dyDescent="0.25">
      <c r="A24" s="101" t="s">
        <v>40</v>
      </c>
      <c r="B24" s="101" t="s">
        <v>45</v>
      </c>
      <c r="C24" s="101" t="s">
        <v>38</v>
      </c>
      <c r="D24" s="102"/>
      <c r="E24" s="101" t="s">
        <v>40</v>
      </c>
      <c r="F24" s="101" t="s">
        <v>57</v>
      </c>
      <c r="G24" s="101" t="s">
        <v>38</v>
      </c>
    </row>
    <row r="25" spans="1:7" x14ac:dyDescent="0.25">
      <c r="A25" s="103" t="s">
        <v>42</v>
      </c>
      <c r="B25" s="101">
        <f>D8</f>
        <v>9</v>
      </c>
      <c r="C25" s="104">
        <f>B25*100/B28</f>
        <v>100</v>
      </c>
      <c r="D25" s="105"/>
      <c r="E25" s="103" t="s">
        <v>42</v>
      </c>
      <c r="F25" s="101">
        <f>F8</f>
        <v>55330</v>
      </c>
      <c r="G25" s="104">
        <f>F25*100/F28</f>
        <v>100</v>
      </c>
    </row>
    <row r="26" spans="1:7" x14ac:dyDescent="0.25">
      <c r="A26" s="103" t="s">
        <v>43</v>
      </c>
      <c r="B26" s="101"/>
      <c r="C26" s="104">
        <f>B26*100/B28</f>
        <v>0</v>
      </c>
      <c r="D26" s="105"/>
      <c r="E26" s="103" t="s">
        <v>43</v>
      </c>
      <c r="F26" s="101">
        <f>E8</f>
        <v>0</v>
      </c>
      <c r="G26" s="104">
        <f>F26*100/F28</f>
        <v>0</v>
      </c>
    </row>
    <row r="27" spans="1:7" x14ac:dyDescent="0.25">
      <c r="A27" s="106"/>
      <c r="B27" s="107"/>
      <c r="C27" s="108"/>
      <c r="D27" s="109"/>
      <c r="E27" s="106"/>
      <c r="F27" s="107"/>
      <c r="G27" s="108"/>
    </row>
    <row r="28" spans="1:7" x14ac:dyDescent="0.25">
      <c r="A28" s="101" t="s">
        <v>39</v>
      </c>
      <c r="B28" s="101">
        <f>SUM(B25:B27)</f>
        <v>9</v>
      </c>
      <c r="C28" s="104">
        <f>C27+C26+C25</f>
        <v>100</v>
      </c>
      <c r="D28" s="105"/>
      <c r="E28" s="101" t="s">
        <v>39</v>
      </c>
      <c r="F28" s="101">
        <f>SUM(F25:F27)</f>
        <v>55330</v>
      </c>
      <c r="G28" s="104">
        <f>G27+G26+G25</f>
        <v>100</v>
      </c>
    </row>
    <row r="29" spans="1:7" x14ac:dyDescent="0.25">
      <c r="A29" s="50"/>
      <c r="B29" s="50"/>
      <c r="C29" s="50"/>
      <c r="D29" s="50"/>
      <c r="E29" s="50"/>
      <c r="F29" s="50"/>
      <c r="G29" s="5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workbookViewId="0">
      <selection activeCell="G33" sqref="A1:G33"/>
    </sheetView>
  </sheetViews>
  <sheetFormatPr defaultRowHeight="15" x14ac:dyDescent="0.25"/>
  <cols>
    <col min="2" max="2" width="11.5703125" customWidth="1"/>
    <col min="3" max="3" width="12.5703125" customWidth="1"/>
    <col min="4" max="4" width="12.140625" customWidth="1"/>
    <col min="5" max="5" width="11.5703125" customWidth="1"/>
    <col min="6" max="6" width="11.85546875" customWidth="1"/>
    <col min="7" max="7" width="13" customWidth="1"/>
    <col min="8" max="8" width="9.85546875" bestFit="1" customWidth="1"/>
  </cols>
  <sheetData>
    <row r="1" spans="1:9" ht="81" customHeight="1" x14ac:dyDescent="0.25">
      <c r="A1" s="1" t="s">
        <v>58</v>
      </c>
      <c r="B1" s="1"/>
    </row>
    <row r="2" spans="1:9" ht="20.25" customHeight="1" x14ac:dyDescent="0.25">
      <c r="A2" s="1" t="s">
        <v>29</v>
      </c>
    </row>
    <row r="3" spans="1:9" ht="15.75" thickBot="1" x14ac:dyDescent="0.3">
      <c r="A3" s="2" t="s">
        <v>48</v>
      </c>
    </row>
    <row r="4" spans="1:9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9" ht="15.75" thickBot="1" x14ac:dyDescent="0.3">
      <c r="A5" s="9">
        <v>2020</v>
      </c>
      <c r="B5" s="44">
        <v>26</v>
      </c>
      <c r="C5" s="44">
        <v>3</v>
      </c>
      <c r="D5" s="44">
        <v>23</v>
      </c>
      <c r="E5" s="43">
        <v>19355</v>
      </c>
      <c r="F5" s="43">
        <f>136090+4257+1365</f>
        <v>141712</v>
      </c>
      <c r="G5" s="85">
        <f>F5+E5</f>
        <v>161067</v>
      </c>
    </row>
    <row r="6" spans="1:9" ht="19.5" thickBot="1" x14ac:dyDescent="0.3">
      <c r="A6" s="9">
        <v>2021</v>
      </c>
      <c r="B6" s="43">
        <v>26</v>
      </c>
      <c r="C6" s="43">
        <v>3</v>
      </c>
      <c r="D6" s="43">
        <v>23</v>
      </c>
      <c r="E6" s="43">
        <v>23272</v>
      </c>
      <c r="F6" s="43">
        <v>156728</v>
      </c>
      <c r="G6" s="85">
        <f t="shared" ref="G6:G8" si="0">F6+E6</f>
        <v>180000</v>
      </c>
      <c r="H6" s="78">
        <v>154810</v>
      </c>
      <c r="I6">
        <f>G6-H6</f>
        <v>25190</v>
      </c>
    </row>
    <row r="7" spans="1:9" ht="19.5" thickBot="1" x14ac:dyDescent="0.3">
      <c r="A7" s="9">
        <v>2022</v>
      </c>
      <c r="B7" s="43">
        <v>26</v>
      </c>
      <c r="C7" s="43">
        <v>3</v>
      </c>
      <c r="D7" s="43">
        <v>23</v>
      </c>
      <c r="E7" s="43">
        <v>19455</v>
      </c>
      <c r="F7" s="43">
        <f>142465+368</f>
        <v>142833</v>
      </c>
      <c r="G7" s="85">
        <f>F7+E7</f>
        <v>162288</v>
      </c>
      <c r="H7" s="74">
        <v>162288</v>
      </c>
      <c r="I7">
        <f>G7-H7</f>
        <v>0</v>
      </c>
    </row>
    <row r="8" spans="1:9" ht="32.25" thickBot="1" x14ac:dyDescent="0.3">
      <c r="A8" s="23" t="s">
        <v>66</v>
      </c>
      <c r="B8" s="43">
        <v>26</v>
      </c>
      <c r="C8" s="43">
        <v>3</v>
      </c>
      <c r="D8" s="43">
        <v>23</v>
      </c>
      <c r="E8" s="43">
        <v>25705</v>
      </c>
      <c r="F8" s="43">
        <f>137262-6667</f>
        <v>130595</v>
      </c>
      <c r="G8" s="85">
        <f t="shared" si="0"/>
        <v>156300</v>
      </c>
      <c r="H8" s="73">
        <v>156300</v>
      </c>
      <c r="I8">
        <f>G8-H8</f>
        <v>0</v>
      </c>
    </row>
    <row r="9" spans="1:9" x14ac:dyDescent="0.25">
      <c r="A9" s="2"/>
    </row>
    <row r="10" spans="1:9" ht="15.75" thickBot="1" x14ac:dyDescent="0.3">
      <c r="A10" s="2" t="s">
        <v>67</v>
      </c>
    </row>
    <row r="11" spans="1:9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</row>
    <row r="12" spans="1:9" ht="15.75" thickBot="1" x14ac:dyDescent="0.3">
      <c r="A12" s="5" t="s">
        <v>13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</row>
    <row r="13" spans="1:9" ht="15.75" thickBot="1" x14ac:dyDescent="0.3">
      <c r="A13" s="5" t="s">
        <v>14</v>
      </c>
      <c r="B13" s="7">
        <f>C13+E13</f>
        <v>22</v>
      </c>
      <c r="C13" s="7">
        <v>19</v>
      </c>
      <c r="D13" s="7">
        <v>114837</v>
      </c>
      <c r="E13" s="7">
        <v>3</v>
      </c>
      <c r="F13" s="7">
        <v>18227</v>
      </c>
    </row>
    <row r="14" spans="1:9" ht="15.75" thickBot="1" x14ac:dyDescent="0.3">
      <c r="A14" s="5" t="s">
        <v>15</v>
      </c>
      <c r="B14" s="7">
        <f>C14+E14</f>
        <v>3</v>
      </c>
      <c r="C14" s="7">
        <v>2</v>
      </c>
      <c r="D14" s="7">
        <v>15758</v>
      </c>
      <c r="E14" s="7">
        <v>1</v>
      </c>
      <c r="F14" s="7">
        <v>7478</v>
      </c>
    </row>
    <row r="15" spans="1:9" x14ac:dyDescent="0.25">
      <c r="A15" s="2"/>
      <c r="B15">
        <f t="shared" ref="B15:E15" si="1">B13+B14</f>
        <v>25</v>
      </c>
      <c r="C15">
        <f t="shared" si="1"/>
        <v>21</v>
      </c>
      <c r="D15">
        <f t="shared" si="1"/>
        <v>130595</v>
      </c>
      <c r="E15">
        <f t="shared" si="1"/>
        <v>4</v>
      </c>
      <c r="F15">
        <f>F13+F14</f>
        <v>25705</v>
      </c>
      <c r="G15">
        <f>D15+F15</f>
        <v>156300</v>
      </c>
      <c r="I15">
        <f>G8-G15</f>
        <v>0</v>
      </c>
    </row>
    <row r="16" spans="1:9" ht="15.75" thickBot="1" x14ac:dyDescent="0.3">
      <c r="A16" s="2" t="s">
        <v>49</v>
      </c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7"/>
      <c r="C18" s="7"/>
      <c r="D18" s="7"/>
      <c r="E18" s="7"/>
      <c r="F18" s="7"/>
      <c r="G18" s="7"/>
    </row>
    <row r="19" spans="1:7" ht="15.75" thickBot="1" x14ac:dyDescent="0.3">
      <c r="A19" s="9">
        <v>2021</v>
      </c>
      <c r="B19" s="7"/>
      <c r="C19" s="7"/>
      <c r="D19" s="7"/>
      <c r="E19" s="7"/>
      <c r="F19" s="7"/>
      <c r="G19" s="7"/>
    </row>
    <row r="20" spans="1:7" ht="15.75" thickBot="1" x14ac:dyDescent="0.3">
      <c r="A20" s="9">
        <v>2022</v>
      </c>
      <c r="B20" s="7"/>
      <c r="C20" s="7"/>
      <c r="D20" s="7"/>
      <c r="E20" s="7"/>
      <c r="F20" s="7"/>
      <c r="G20" s="7"/>
    </row>
    <row r="21" spans="1:7" ht="32.25" thickBot="1" x14ac:dyDescent="0.3">
      <c r="A21" s="23" t="s">
        <v>66</v>
      </c>
      <c r="B21" s="36"/>
      <c r="C21" s="36"/>
      <c r="D21" s="36"/>
      <c r="E21" s="36"/>
      <c r="F21" s="36"/>
      <c r="G21" s="3"/>
    </row>
    <row r="23" spans="1:7" ht="15.75" x14ac:dyDescent="0.25">
      <c r="A23" s="16" t="s">
        <v>51</v>
      </c>
      <c r="E23" s="1" t="s">
        <v>54</v>
      </c>
    </row>
    <row r="24" spans="1:7" x14ac:dyDescent="0.25">
      <c r="A24" s="11" t="s">
        <v>40</v>
      </c>
      <c r="B24" s="11" t="s">
        <v>45</v>
      </c>
      <c r="C24" s="11" t="s">
        <v>38</v>
      </c>
      <c r="D24" s="14"/>
      <c r="E24" s="11" t="s">
        <v>40</v>
      </c>
      <c r="F24" s="11" t="s">
        <v>57</v>
      </c>
      <c r="G24" s="11" t="s">
        <v>38</v>
      </c>
    </row>
    <row r="25" spans="1:7" x14ac:dyDescent="0.25">
      <c r="A25" s="12" t="s">
        <v>42</v>
      </c>
      <c r="B25" s="11">
        <v>23</v>
      </c>
      <c r="C25" s="13">
        <f>B25*100/B28</f>
        <v>88.461538461538467</v>
      </c>
      <c r="D25" s="15"/>
      <c r="E25" s="12" t="s">
        <v>42</v>
      </c>
      <c r="F25" s="11">
        <f>F8</f>
        <v>130595</v>
      </c>
      <c r="G25" s="13">
        <f>F25*100/F28</f>
        <v>83.554062699936026</v>
      </c>
    </row>
    <row r="26" spans="1:7" x14ac:dyDescent="0.25">
      <c r="A26" s="12" t="s">
        <v>43</v>
      </c>
      <c r="B26" s="11">
        <v>3</v>
      </c>
      <c r="C26" s="13">
        <f>B26*100/B28</f>
        <v>11.538461538461538</v>
      </c>
      <c r="D26" s="15"/>
      <c r="E26" s="12" t="s">
        <v>43</v>
      </c>
      <c r="F26" s="11">
        <f>E8</f>
        <v>25705</v>
      </c>
      <c r="G26" s="13">
        <f>F26*100/F28</f>
        <v>16.445937300063978</v>
      </c>
    </row>
    <row r="27" spans="1:7" x14ac:dyDescent="0.25">
      <c r="A27" s="17"/>
      <c r="B27" s="18"/>
      <c r="C27" s="19"/>
      <c r="D27" s="20"/>
      <c r="E27" s="17"/>
      <c r="F27" s="18"/>
      <c r="G27" s="19"/>
    </row>
    <row r="28" spans="1:7" x14ac:dyDescent="0.25">
      <c r="A28" s="11" t="s">
        <v>39</v>
      </c>
      <c r="B28" s="11">
        <f>SUM(B25:B27)</f>
        <v>26</v>
      </c>
      <c r="C28" s="13">
        <f>C27+C26+C25</f>
        <v>100</v>
      </c>
      <c r="D28" s="15"/>
      <c r="E28" s="11" t="s">
        <v>39</v>
      </c>
      <c r="F28" s="11">
        <f>SUM(F25:F27)</f>
        <v>156300</v>
      </c>
      <c r="G28" s="13">
        <f>G27+G26+G25</f>
        <v>100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8"/>
  <sheetViews>
    <sheetView workbookViewId="0">
      <selection activeCell="G30" sqref="A1:G30"/>
    </sheetView>
  </sheetViews>
  <sheetFormatPr defaultRowHeight="15" x14ac:dyDescent="0.25"/>
  <cols>
    <col min="1" max="1" width="10.85546875" customWidth="1"/>
    <col min="2" max="2" width="11.42578125" customWidth="1"/>
    <col min="3" max="3" width="11.5703125" customWidth="1"/>
    <col min="4" max="4" width="12" customWidth="1"/>
    <col min="5" max="5" width="11.5703125" customWidth="1"/>
    <col min="6" max="6" width="11" customWidth="1"/>
    <col min="7" max="7" width="11.7109375" customWidth="1"/>
  </cols>
  <sheetData>
    <row r="1" spans="1:9" ht="87" customHeight="1" x14ac:dyDescent="0.25">
      <c r="A1" s="1" t="s">
        <v>58</v>
      </c>
      <c r="B1" s="1"/>
    </row>
    <row r="2" spans="1:9" ht="15.75" x14ac:dyDescent="0.25">
      <c r="A2" s="1" t="s">
        <v>30</v>
      </c>
    </row>
    <row r="3" spans="1:9" ht="15.75" thickBot="1" x14ac:dyDescent="0.3">
      <c r="A3" s="2" t="s">
        <v>48</v>
      </c>
    </row>
    <row r="4" spans="1:9" ht="42.7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9" ht="16.5" thickBot="1" x14ac:dyDescent="0.3">
      <c r="A5" s="9">
        <v>2020</v>
      </c>
      <c r="B5" s="80">
        <v>32</v>
      </c>
      <c r="C5" s="80">
        <v>0</v>
      </c>
      <c r="D5" s="80">
        <v>34</v>
      </c>
      <c r="E5" s="80">
        <v>0</v>
      </c>
      <c r="F5" s="80">
        <v>240000</v>
      </c>
    </row>
    <row r="6" spans="1:9" ht="16.5" thickBot="1" x14ac:dyDescent="0.3">
      <c r="A6" s="9">
        <v>2021</v>
      </c>
      <c r="B6" s="81">
        <v>32</v>
      </c>
      <c r="C6" s="81">
        <v>0</v>
      </c>
      <c r="D6" s="81">
        <v>34</v>
      </c>
      <c r="E6" s="81">
        <v>0</v>
      </c>
      <c r="F6" s="81">
        <v>210758</v>
      </c>
    </row>
    <row r="7" spans="1:9" ht="16.5" thickBot="1" x14ac:dyDescent="0.3">
      <c r="A7" s="9">
        <v>2022</v>
      </c>
      <c r="B7" s="81">
        <v>34</v>
      </c>
      <c r="C7" s="81">
        <v>0</v>
      </c>
      <c r="D7" s="81">
        <v>34</v>
      </c>
      <c r="E7" s="81">
        <v>0</v>
      </c>
      <c r="F7" s="81">
        <v>212300</v>
      </c>
    </row>
    <row r="8" spans="1:9" ht="25.5" customHeight="1" thickBot="1" x14ac:dyDescent="0.3">
      <c r="A8" s="23" t="s">
        <v>66</v>
      </c>
      <c r="B8" s="81">
        <v>34</v>
      </c>
      <c r="C8" s="81">
        <v>0</v>
      </c>
      <c r="D8" s="81">
        <v>34</v>
      </c>
      <c r="E8" s="81">
        <v>0</v>
      </c>
      <c r="F8" s="81">
        <v>211550</v>
      </c>
      <c r="I8">
        <f>F8-D15</f>
        <v>0</v>
      </c>
    </row>
    <row r="9" spans="1:9" x14ac:dyDescent="0.25">
      <c r="A9" s="2"/>
    </row>
    <row r="10" spans="1:9" ht="15.75" thickBot="1" x14ac:dyDescent="0.3">
      <c r="A10" s="2" t="s">
        <v>67</v>
      </c>
    </row>
    <row r="11" spans="1:9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</row>
    <row r="12" spans="1:9" ht="15.75" thickBot="1" x14ac:dyDescent="0.3">
      <c r="A12" s="5" t="s">
        <v>13</v>
      </c>
      <c r="B12" s="7">
        <v>1</v>
      </c>
      <c r="C12" s="7">
        <v>1</v>
      </c>
      <c r="D12" s="7">
        <v>4578</v>
      </c>
      <c r="E12" s="7">
        <v>0</v>
      </c>
      <c r="F12" s="7">
        <v>0</v>
      </c>
    </row>
    <row r="13" spans="1:9" ht="15.75" thickBot="1" x14ac:dyDescent="0.3">
      <c r="A13" s="5" t="s">
        <v>14</v>
      </c>
      <c r="B13" s="7">
        <f>C13+E13</f>
        <v>31</v>
      </c>
      <c r="C13" s="7">
        <v>31</v>
      </c>
      <c r="D13" s="7">
        <f>191312-517</f>
        <v>190795</v>
      </c>
      <c r="E13" s="7">
        <v>0</v>
      </c>
      <c r="F13" s="7">
        <v>0</v>
      </c>
    </row>
    <row r="14" spans="1:9" ht="15.75" thickBot="1" x14ac:dyDescent="0.3">
      <c r="A14" s="5" t="s">
        <v>15</v>
      </c>
      <c r="B14" s="7">
        <v>2</v>
      </c>
      <c r="C14" s="7">
        <v>2</v>
      </c>
      <c r="D14" s="7">
        <v>16177</v>
      </c>
      <c r="E14" s="7">
        <v>0</v>
      </c>
      <c r="F14" s="7">
        <v>0</v>
      </c>
    </row>
    <row r="15" spans="1:9" x14ac:dyDescent="0.25">
      <c r="A15" s="2"/>
      <c r="B15">
        <f>SUM(B12:B14)</f>
        <v>34</v>
      </c>
      <c r="D15">
        <f>D12+D13+D14</f>
        <v>211550</v>
      </c>
    </row>
    <row r="16" spans="1:9" ht="15.75" thickBot="1" x14ac:dyDescent="0.3">
      <c r="A16" s="2" t="s">
        <v>49</v>
      </c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7"/>
      <c r="C18" s="7"/>
      <c r="D18" s="7"/>
      <c r="E18" s="7"/>
      <c r="F18" s="7"/>
      <c r="G18" s="7"/>
    </row>
    <row r="19" spans="1:7" ht="15.75" thickBot="1" x14ac:dyDescent="0.3">
      <c r="A19" s="9">
        <v>2021</v>
      </c>
      <c r="B19" s="7"/>
      <c r="C19" s="7"/>
      <c r="D19" s="7"/>
      <c r="E19" s="7"/>
      <c r="F19" s="7"/>
      <c r="G19" s="7"/>
    </row>
    <row r="20" spans="1:7" ht="15.75" thickBot="1" x14ac:dyDescent="0.3">
      <c r="A20" s="9">
        <v>2022</v>
      </c>
      <c r="B20" s="7"/>
      <c r="C20" s="7"/>
      <c r="D20" s="7"/>
      <c r="E20" s="7"/>
      <c r="F20" s="28"/>
      <c r="G20" s="28"/>
    </row>
    <row r="21" spans="1:7" ht="24.75" customHeight="1" thickBot="1" x14ac:dyDescent="0.3">
      <c r="A21" s="23" t="s">
        <v>66</v>
      </c>
      <c r="B21" s="7"/>
      <c r="C21" s="7"/>
      <c r="D21" s="7"/>
      <c r="E21" s="7"/>
      <c r="F21" s="3"/>
      <c r="G21" s="3"/>
    </row>
    <row r="23" spans="1:7" ht="15.75" x14ac:dyDescent="0.25">
      <c r="A23" s="16" t="s">
        <v>51</v>
      </c>
      <c r="E23" s="1" t="s">
        <v>55</v>
      </c>
    </row>
    <row r="24" spans="1:7" x14ac:dyDescent="0.25">
      <c r="A24" s="11" t="s">
        <v>40</v>
      </c>
      <c r="B24" s="11" t="s">
        <v>45</v>
      </c>
      <c r="C24" s="11" t="s">
        <v>38</v>
      </c>
      <c r="D24" s="14"/>
      <c r="E24" s="11" t="s">
        <v>40</v>
      </c>
      <c r="F24" s="11" t="s">
        <v>57</v>
      </c>
      <c r="G24" s="11" t="s">
        <v>38</v>
      </c>
    </row>
    <row r="25" spans="1:7" x14ac:dyDescent="0.25">
      <c r="A25" s="12" t="s">
        <v>42</v>
      </c>
      <c r="B25" s="11">
        <f>B8</f>
        <v>34</v>
      </c>
      <c r="C25" s="13">
        <f>B25*100/B28</f>
        <v>100</v>
      </c>
      <c r="D25" s="15"/>
      <c r="E25" s="12" t="s">
        <v>42</v>
      </c>
      <c r="F25" s="11">
        <f>F8</f>
        <v>211550</v>
      </c>
      <c r="G25" s="13">
        <f>F25*100/F28</f>
        <v>100</v>
      </c>
    </row>
    <row r="26" spans="1:7" x14ac:dyDescent="0.25">
      <c r="A26" s="12" t="s">
        <v>43</v>
      </c>
      <c r="B26" s="11">
        <v>0</v>
      </c>
      <c r="C26" s="13">
        <f>B26*100/B28</f>
        <v>0</v>
      </c>
      <c r="D26" s="15"/>
      <c r="E26" s="12" t="s">
        <v>43</v>
      </c>
      <c r="F26" s="11">
        <f>E8</f>
        <v>0</v>
      </c>
      <c r="G26" s="13">
        <f>F26*100/F28</f>
        <v>0</v>
      </c>
    </row>
    <row r="27" spans="1:7" x14ac:dyDescent="0.25">
      <c r="A27" s="17"/>
      <c r="B27" s="18"/>
      <c r="C27" s="19"/>
      <c r="D27" s="20"/>
      <c r="E27" s="17"/>
      <c r="F27" s="18"/>
      <c r="G27" s="19"/>
    </row>
    <row r="28" spans="1:7" x14ac:dyDescent="0.25">
      <c r="A28" s="11" t="s">
        <v>39</v>
      </c>
      <c r="B28" s="11">
        <f>SUM(B25:B27)</f>
        <v>34</v>
      </c>
      <c r="C28" s="13">
        <f>C27+C26+C25</f>
        <v>100</v>
      </c>
      <c r="D28" s="15"/>
      <c r="E28" s="11" t="s">
        <v>39</v>
      </c>
      <c r="F28" s="11">
        <f>SUM(F25:F27)</f>
        <v>211550</v>
      </c>
      <c r="G28" s="13">
        <f>G27+G26+G25</f>
        <v>100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workbookViewId="0">
      <selection activeCell="G28" sqref="A1:G28"/>
    </sheetView>
  </sheetViews>
  <sheetFormatPr defaultRowHeight="15" x14ac:dyDescent="0.25"/>
  <cols>
    <col min="1" max="1" width="10.85546875" customWidth="1"/>
    <col min="2" max="3" width="10.5703125" customWidth="1"/>
    <col min="4" max="4" width="10.85546875" customWidth="1"/>
    <col min="5" max="5" width="11" customWidth="1"/>
    <col min="6" max="6" width="12.7109375" customWidth="1"/>
    <col min="7" max="7" width="12" customWidth="1"/>
  </cols>
  <sheetData>
    <row r="1" spans="1:9" ht="76.5" customHeight="1" x14ac:dyDescent="0.25">
      <c r="A1" s="1" t="s">
        <v>58</v>
      </c>
      <c r="B1" s="1"/>
    </row>
    <row r="2" spans="1:9" ht="30.75" customHeight="1" x14ac:dyDescent="0.25">
      <c r="A2" s="2" t="s">
        <v>31</v>
      </c>
      <c r="B2" s="85"/>
      <c r="C2" s="85"/>
      <c r="D2" s="85"/>
      <c r="E2" s="85"/>
      <c r="F2" s="85"/>
      <c r="G2" s="85"/>
      <c r="H2" s="85"/>
    </row>
    <row r="3" spans="1:9" ht="15.75" thickBot="1" x14ac:dyDescent="0.3">
      <c r="A3" s="2" t="s">
        <v>48</v>
      </c>
    </row>
    <row r="4" spans="1:9" ht="42.7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93" t="s">
        <v>5</v>
      </c>
      <c r="F4" s="93" t="s">
        <v>6</v>
      </c>
    </row>
    <row r="5" spans="1:9" ht="15.75" thickBot="1" x14ac:dyDescent="0.3">
      <c r="A5" s="9">
        <v>2020</v>
      </c>
      <c r="B5" s="44">
        <v>14</v>
      </c>
      <c r="C5" s="44">
        <v>2</v>
      </c>
      <c r="D5" s="111">
        <v>12</v>
      </c>
      <c r="E5" s="52">
        <v>12799</v>
      </c>
      <c r="F5" s="52">
        <v>53929</v>
      </c>
      <c r="G5" s="86">
        <v>64197</v>
      </c>
    </row>
    <row r="6" spans="1:9" ht="15.75" thickBot="1" x14ac:dyDescent="0.3">
      <c r="A6" s="9">
        <v>2021</v>
      </c>
      <c r="B6" s="45">
        <v>14</v>
      </c>
      <c r="C6" s="45">
        <v>2</v>
      </c>
      <c r="D6" s="51">
        <v>12</v>
      </c>
      <c r="E6" s="52">
        <v>18456</v>
      </c>
      <c r="F6" s="52">
        <v>71544</v>
      </c>
      <c r="G6" s="86">
        <f>E6+F6</f>
        <v>90000</v>
      </c>
      <c r="H6" s="86">
        <v>67378</v>
      </c>
    </row>
    <row r="7" spans="1:9" ht="15.75" thickBot="1" x14ac:dyDescent="0.3">
      <c r="A7" s="9">
        <v>2022</v>
      </c>
      <c r="B7" s="47">
        <v>14</v>
      </c>
      <c r="C7" s="91">
        <v>2</v>
      </c>
      <c r="D7" s="91">
        <v>12</v>
      </c>
      <c r="E7" s="112">
        <v>12950</v>
      </c>
      <c r="F7" s="112">
        <f>51946+1532+950+422</f>
        <v>54850</v>
      </c>
      <c r="G7" s="86">
        <f>E7+F7</f>
        <v>67800</v>
      </c>
      <c r="H7">
        <v>67800</v>
      </c>
      <c r="I7">
        <f>G7-H7</f>
        <v>0</v>
      </c>
    </row>
    <row r="8" spans="1:9" ht="27" customHeight="1" thickBot="1" x14ac:dyDescent="0.3">
      <c r="A8" s="23" t="s">
        <v>66</v>
      </c>
      <c r="B8" s="47">
        <v>14</v>
      </c>
      <c r="C8" s="91">
        <v>2</v>
      </c>
      <c r="D8" s="91">
        <v>12</v>
      </c>
      <c r="E8" s="92">
        <v>13011</v>
      </c>
      <c r="F8" s="92">
        <f>55042-553</f>
        <v>54489</v>
      </c>
      <c r="G8" s="90">
        <f>E8+F8</f>
        <v>67500</v>
      </c>
      <c r="H8">
        <v>67500</v>
      </c>
      <c r="I8">
        <f>G8-H8</f>
        <v>0</v>
      </c>
    </row>
    <row r="9" spans="1:9" x14ac:dyDescent="0.25">
      <c r="A9" s="25"/>
      <c r="B9" s="14"/>
      <c r="C9" s="14"/>
      <c r="D9" s="14"/>
      <c r="E9" s="14"/>
      <c r="F9" s="14"/>
    </row>
    <row r="10" spans="1:9" ht="15.75" thickBot="1" x14ac:dyDescent="0.3">
      <c r="A10" s="2" t="s">
        <v>67</v>
      </c>
    </row>
    <row r="11" spans="1:9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</row>
    <row r="12" spans="1:9" ht="15.75" thickBot="1" x14ac:dyDescent="0.3">
      <c r="A12" s="5" t="s">
        <v>13</v>
      </c>
      <c r="B12" s="7">
        <f>C12+E12</f>
        <v>8</v>
      </c>
      <c r="C12" s="7">
        <v>8</v>
      </c>
      <c r="D12" s="7">
        <v>32312</v>
      </c>
      <c r="E12" s="7"/>
      <c r="F12" s="7"/>
    </row>
    <row r="13" spans="1:9" ht="15.75" thickBot="1" x14ac:dyDescent="0.3">
      <c r="A13" s="5" t="s">
        <v>14</v>
      </c>
      <c r="B13" s="7">
        <f t="shared" ref="B13:B14" si="0">C13+E13</f>
        <v>6</v>
      </c>
      <c r="C13" s="7">
        <v>4</v>
      </c>
      <c r="D13" s="7">
        <f>22894-717</f>
        <v>22177</v>
      </c>
      <c r="E13" s="7">
        <v>2</v>
      </c>
      <c r="F13" s="7">
        <v>13011</v>
      </c>
    </row>
    <row r="14" spans="1:9" ht="15.75" thickBot="1" x14ac:dyDescent="0.3">
      <c r="A14" s="5" t="s">
        <v>15</v>
      </c>
      <c r="B14" s="7">
        <f t="shared" si="0"/>
        <v>0</v>
      </c>
      <c r="C14" s="7"/>
      <c r="D14" s="7"/>
      <c r="E14" s="7"/>
      <c r="F14" s="7"/>
    </row>
    <row r="15" spans="1:9" x14ac:dyDescent="0.25">
      <c r="A15" s="2"/>
      <c r="B15">
        <f>B14+B13+B12</f>
        <v>14</v>
      </c>
      <c r="D15">
        <f>D12+D13+D14</f>
        <v>54489</v>
      </c>
      <c r="E15">
        <f t="shared" ref="E15:F15" si="1">E12+E13+E14</f>
        <v>2</v>
      </c>
      <c r="F15">
        <f t="shared" si="1"/>
        <v>13011</v>
      </c>
      <c r="G15">
        <f>D15+F15</f>
        <v>67500</v>
      </c>
      <c r="H15">
        <f>G8-G15</f>
        <v>0</v>
      </c>
    </row>
    <row r="16" spans="1:9" ht="15.75" thickBot="1" x14ac:dyDescent="0.3">
      <c r="A16" s="2" t="s">
        <v>49</v>
      </c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3">
        <f>F18+G18</f>
        <v>46000</v>
      </c>
      <c r="C18" s="3">
        <f>D18+E18</f>
        <v>80</v>
      </c>
      <c r="D18" s="3">
        <v>45</v>
      </c>
      <c r="E18" s="3">
        <v>35</v>
      </c>
      <c r="F18" s="3">
        <v>23000</v>
      </c>
      <c r="G18" s="3">
        <v>23000</v>
      </c>
    </row>
    <row r="19" spans="1:7" ht="15.75" thickBot="1" x14ac:dyDescent="0.3">
      <c r="A19" s="9">
        <v>2021</v>
      </c>
      <c r="B19" s="3">
        <f>F19+G19</f>
        <v>166000</v>
      </c>
      <c r="C19" s="3">
        <f>D19+E19</f>
        <v>80</v>
      </c>
      <c r="D19" s="3">
        <v>45</v>
      </c>
      <c r="E19" s="3">
        <v>35</v>
      </c>
      <c r="F19" s="3">
        <v>90000</v>
      </c>
      <c r="G19" s="3">
        <v>76000</v>
      </c>
    </row>
    <row r="20" spans="1:7" ht="15.75" thickBot="1" x14ac:dyDescent="0.3">
      <c r="A20" s="9">
        <v>2022</v>
      </c>
      <c r="B20" s="3">
        <f>F20+G20</f>
        <v>170000</v>
      </c>
      <c r="C20" s="3">
        <f>D20+E20</f>
        <v>80</v>
      </c>
      <c r="D20" s="3">
        <v>45</v>
      </c>
      <c r="E20" s="3">
        <v>35</v>
      </c>
      <c r="F20" s="3">
        <v>100000</v>
      </c>
      <c r="G20" s="3">
        <v>70000</v>
      </c>
    </row>
    <row r="21" spans="1:7" ht="21.75" customHeight="1" thickBot="1" x14ac:dyDescent="0.3">
      <c r="A21" s="23" t="s">
        <v>66</v>
      </c>
      <c r="B21" s="3">
        <f>F21+G21</f>
        <v>300000</v>
      </c>
      <c r="C21" s="3">
        <f>D21+E21</f>
        <v>160</v>
      </c>
      <c r="D21" s="3">
        <v>80</v>
      </c>
      <c r="E21" s="3">
        <v>80</v>
      </c>
      <c r="F21" s="3">
        <v>150000</v>
      </c>
      <c r="G21" s="3">
        <v>150000</v>
      </c>
    </row>
    <row r="22" spans="1:7" ht="15.75" x14ac:dyDescent="0.25">
      <c r="A22" s="16" t="s">
        <v>18</v>
      </c>
      <c r="E22" s="1" t="s">
        <v>44</v>
      </c>
    </row>
    <row r="23" spans="1:7" x14ac:dyDescent="0.25">
      <c r="A23" s="11" t="s">
        <v>40</v>
      </c>
      <c r="B23" s="11" t="s">
        <v>45</v>
      </c>
      <c r="C23" s="11" t="s">
        <v>38</v>
      </c>
      <c r="D23" s="14"/>
      <c r="E23" s="11" t="s">
        <v>40</v>
      </c>
      <c r="F23" s="11" t="s">
        <v>57</v>
      </c>
      <c r="G23" s="11" t="s">
        <v>38</v>
      </c>
    </row>
    <row r="24" spans="1:7" x14ac:dyDescent="0.25">
      <c r="A24" s="12" t="s">
        <v>42</v>
      </c>
      <c r="B24" s="11">
        <v>12</v>
      </c>
      <c r="C24" s="13">
        <f>B24*100/B27</f>
        <v>85.714285714285708</v>
      </c>
      <c r="D24" s="15"/>
      <c r="E24" s="12" t="s">
        <v>42</v>
      </c>
      <c r="F24" s="11">
        <f>F8</f>
        <v>54489</v>
      </c>
      <c r="G24" s="13">
        <f>F24*100/F27</f>
        <v>80.724444444444444</v>
      </c>
    </row>
    <row r="25" spans="1:7" x14ac:dyDescent="0.25">
      <c r="A25" s="12" t="s">
        <v>43</v>
      </c>
      <c r="B25" s="11">
        <v>2</v>
      </c>
      <c r="C25" s="13">
        <f>B25*100/B27</f>
        <v>14.285714285714286</v>
      </c>
      <c r="D25" s="15"/>
      <c r="E25" s="12" t="s">
        <v>43</v>
      </c>
      <c r="F25" s="11">
        <f>E8</f>
        <v>13011</v>
      </c>
      <c r="G25" s="13">
        <f>F25*100/F27</f>
        <v>19.275555555555556</v>
      </c>
    </row>
    <row r="26" spans="1:7" x14ac:dyDescent="0.25">
      <c r="A26" s="17"/>
      <c r="B26" s="18"/>
      <c r="C26" s="19"/>
      <c r="D26" s="20"/>
      <c r="E26" s="17"/>
      <c r="F26" s="18"/>
      <c r="G26" s="19"/>
    </row>
    <row r="27" spans="1:7" x14ac:dyDescent="0.25">
      <c r="A27" s="11" t="s">
        <v>39</v>
      </c>
      <c r="B27" s="11">
        <f>SUM(B24:B26)</f>
        <v>14</v>
      </c>
      <c r="C27" s="13">
        <f>C26+C25+C24</f>
        <v>100</v>
      </c>
      <c r="D27" s="15"/>
      <c r="E27" s="11" t="s">
        <v>39</v>
      </c>
      <c r="F27" s="11">
        <f>SUM(F24:F26)</f>
        <v>67500</v>
      </c>
      <c r="G27" s="13">
        <f>G26+G25+G24</f>
        <v>100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workbookViewId="0">
      <selection activeCell="G30" sqref="A1:G30"/>
    </sheetView>
  </sheetViews>
  <sheetFormatPr defaultRowHeight="15" x14ac:dyDescent="0.25"/>
  <cols>
    <col min="2" max="2" width="10.85546875" customWidth="1"/>
    <col min="3" max="3" width="11" customWidth="1"/>
    <col min="4" max="4" width="11.42578125" customWidth="1"/>
    <col min="5" max="5" width="11.140625" customWidth="1"/>
    <col min="6" max="6" width="12.5703125" customWidth="1"/>
    <col min="7" max="7" width="13" customWidth="1"/>
  </cols>
  <sheetData>
    <row r="1" spans="1:9" ht="75" customHeight="1" x14ac:dyDescent="0.25">
      <c r="A1" s="1" t="s">
        <v>58</v>
      </c>
      <c r="B1" s="1"/>
    </row>
    <row r="2" spans="1:9" ht="23.25" customHeight="1" x14ac:dyDescent="0.25">
      <c r="A2" s="1" t="s">
        <v>32</v>
      </c>
    </row>
    <row r="3" spans="1:9" ht="15.75" thickBot="1" x14ac:dyDescent="0.3">
      <c r="A3" s="2" t="s">
        <v>50</v>
      </c>
    </row>
    <row r="4" spans="1:9" ht="42.75" thickBot="1" x14ac:dyDescent="0.3">
      <c r="A4" s="3" t="s">
        <v>1</v>
      </c>
      <c r="B4" s="4" t="s">
        <v>2</v>
      </c>
      <c r="C4" s="4" t="s">
        <v>3</v>
      </c>
      <c r="D4" s="93" t="s">
        <v>4</v>
      </c>
      <c r="E4" s="93" t="s">
        <v>5</v>
      </c>
      <c r="F4" s="93" t="s">
        <v>6</v>
      </c>
    </row>
    <row r="5" spans="1:9" ht="15.75" thickBot="1" x14ac:dyDescent="0.3">
      <c r="A5" s="9">
        <v>2020</v>
      </c>
      <c r="B5" s="28">
        <v>9</v>
      </c>
      <c r="C5" s="27">
        <v>1</v>
      </c>
      <c r="D5" s="118">
        <v>8</v>
      </c>
      <c r="E5" s="8">
        <v>9300</v>
      </c>
      <c r="F5" s="3">
        <v>50700</v>
      </c>
      <c r="G5" s="84">
        <f>E5+F5</f>
        <v>60000</v>
      </c>
    </row>
    <row r="6" spans="1:9" ht="15.75" thickBot="1" x14ac:dyDescent="0.3">
      <c r="A6" s="9">
        <v>2021</v>
      </c>
      <c r="B6" s="35">
        <v>9</v>
      </c>
      <c r="C6" s="35">
        <v>1</v>
      </c>
      <c r="D6" s="119">
        <v>8</v>
      </c>
      <c r="E6" s="35">
        <f>7104-380</f>
        <v>6724</v>
      </c>
      <c r="F6" s="35">
        <f>44954+492-347</f>
        <v>45099</v>
      </c>
      <c r="G6" s="84">
        <f t="shared" ref="G6:G8" si="0">E6+F6</f>
        <v>51823</v>
      </c>
    </row>
    <row r="7" spans="1:9" ht="15.75" thickBot="1" x14ac:dyDescent="0.3">
      <c r="A7" s="23">
        <v>2022</v>
      </c>
      <c r="B7" s="35">
        <v>9</v>
      </c>
      <c r="C7" s="35">
        <v>1</v>
      </c>
      <c r="D7" s="35">
        <v>8</v>
      </c>
      <c r="E7" s="35">
        <v>7104</v>
      </c>
      <c r="F7" s="35">
        <f>50700-5254</f>
        <v>45446</v>
      </c>
      <c r="G7" s="84">
        <f t="shared" si="0"/>
        <v>52550</v>
      </c>
      <c r="H7" s="113">
        <v>51823</v>
      </c>
      <c r="I7">
        <f>G7-H7</f>
        <v>727</v>
      </c>
    </row>
    <row r="8" spans="1:9" ht="32.25" thickBot="1" x14ac:dyDescent="0.3">
      <c r="A8" s="23" t="s">
        <v>66</v>
      </c>
      <c r="B8" s="35">
        <v>9</v>
      </c>
      <c r="C8" s="35">
        <v>1</v>
      </c>
      <c r="D8" s="35">
        <v>8</v>
      </c>
      <c r="E8" s="35">
        <v>7104</v>
      </c>
      <c r="F8" s="35">
        <f>50700-5254-50</f>
        <v>45396</v>
      </c>
      <c r="G8" s="84">
        <f t="shared" si="0"/>
        <v>52500</v>
      </c>
      <c r="H8" s="113">
        <v>52500</v>
      </c>
      <c r="I8">
        <f>G8-H8</f>
        <v>0</v>
      </c>
    </row>
    <row r="9" spans="1:9" x14ac:dyDescent="0.25">
      <c r="A9" s="34"/>
      <c r="B9" s="14"/>
      <c r="C9" s="14"/>
      <c r="D9" s="14"/>
      <c r="E9" s="14"/>
      <c r="F9" s="14"/>
    </row>
    <row r="10" spans="1:9" ht="15.75" thickBot="1" x14ac:dyDescent="0.3">
      <c r="A10" s="2" t="s">
        <v>67</v>
      </c>
    </row>
    <row r="11" spans="1:9" ht="21.75" thickBot="1" x14ac:dyDescent="0.3">
      <c r="A11" s="6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</row>
    <row r="12" spans="1:9" ht="15.75" thickBot="1" x14ac:dyDescent="0.3">
      <c r="A12" s="5" t="s">
        <v>13</v>
      </c>
      <c r="B12" s="7"/>
      <c r="C12" s="7"/>
      <c r="D12" s="7"/>
      <c r="E12" s="7"/>
      <c r="F12" s="7"/>
    </row>
    <row r="13" spans="1:9" ht="15.75" thickBot="1" x14ac:dyDescent="0.3">
      <c r="A13" s="5" t="s">
        <v>14</v>
      </c>
      <c r="B13" s="7">
        <f>C13+E13</f>
        <v>9</v>
      </c>
      <c r="C13" s="7">
        <v>8</v>
      </c>
      <c r="D13" s="7">
        <v>45396</v>
      </c>
      <c r="E13" s="7">
        <v>1</v>
      </c>
      <c r="F13" s="7">
        <v>7104</v>
      </c>
      <c r="G13">
        <f>D13+F13</f>
        <v>52500</v>
      </c>
    </row>
    <row r="14" spans="1:9" ht="15.75" thickBot="1" x14ac:dyDescent="0.3">
      <c r="A14" s="5" t="s">
        <v>15</v>
      </c>
      <c r="B14" s="7"/>
      <c r="C14" s="7"/>
      <c r="D14" s="7"/>
      <c r="E14" s="7"/>
      <c r="F14" s="7"/>
    </row>
    <row r="15" spans="1:9" x14ac:dyDescent="0.25">
      <c r="A15" s="2"/>
      <c r="D15">
        <f>SUM(D13:D14)</f>
        <v>45396</v>
      </c>
      <c r="F15">
        <f>SUM(F13:F14)</f>
        <v>7104</v>
      </c>
      <c r="G15">
        <f>D15+F15</f>
        <v>52500</v>
      </c>
    </row>
    <row r="16" spans="1:9" ht="15.75" thickBot="1" x14ac:dyDescent="0.3">
      <c r="A16" s="2" t="s">
        <v>49</v>
      </c>
    </row>
    <row r="17" spans="1:7" ht="39" thickBot="1" x14ac:dyDescent="0.3">
      <c r="A17" s="3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</row>
    <row r="18" spans="1:7" ht="15.75" thickBot="1" x14ac:dyDescent="0.3">
      <c r="A18" s="9">
        <v>2020</v>
      </c>
      <c r="B18" s="7"/>
      <c r="C18" s="7"/>
      <c r="D18" s="7"/>
      <c r="E18" s="7"/>
      <c r="F18" s="7"/>
      <c r="G18" s="7"/>
    </row>
    <row r="19" spans="1:7" ht="15.75" thickBot="1" x14ac:dyDescent="0.3">
      <c r="A19" s="9">
        <v>2021</v>
      </c>
      <c r="B19" s="7"/>
      <c r="C19" s="7"/>
      <c r="D19" s="7"/>
      <c r="E19" s="7"/>
      <c r="F19" s="7"/>
      <c r="G19" s="7"/>
    </row>
    <row r="20" spans="1:7" ht="15.75" thickBot="1" x14ac:dyDescent="0.3">
      <c r="A20" s="9">
        <v>2022</v>
      </c>
      <c r="B20" s="28"/>
      <c r="C20" s="28"/>
      <c r="D20" s="28"/>
      <c r="E20" s="28"/>
      <c r="F20" s="28"/>
      <c r="G20" s="28"/>
    </row>
    <row r="21" spans="1:7" ht="32.25" thickBot="1" x14ac:dyDescent="0.3">
      <c r="A21" s="23" t="s">
        <v>66</v>
      </c>
      <c r="B21" s="35"/>
      <c r="C21" s="35"/>
      <c r="D21" s="35"/>
      <c r="E21" s="35"/>
      <c r="F21" s="35"/>
      <c r="G21" s="35"/>
    </row>
    <row r="22" spans="1:7" x14ac:dyDescent="0.25">
      <c r="A22" s="14"/>
      <c r="B22" s="14"/>
      <c r="C22" s="14"/>
      <c r="D22" s="14"/>
      <c r="E22" s="14"/>
      <c r="F22" s="14"/>
      <c r="G22" s="14"/>
    </row>
    <row r="23" spans="1:7" ht="15.75" x14ac:dyDescent="0.25">
      <c r="A23" s="16" t="s">
        <v>51</v>
      </c>
      <c r="E23" s="1" t="s">
        <v>55</v>
      </c>
    </row>
    <row r="24" spans="1:7" x14ac:dyDescent="0.25">
      <c r="A24" s="11" t="s">
        <v>40</v>
      </c>
      <c r="B24" s="11" t="s">
        <v>45</v>
      </c>
      <c r="C24" s="11" t="s">
        <v>38</v>
      </c>
      <c r="D24" s="14"/>
      <c r="E24" s="11" t="s">
        <v>40</v>
      </c>
      <c r="F24" s="11" t="s">
        <v>57</v>
      </c>
      <c r="G24" s="11" t="s">
        <v>38</v>
      </c>
    </row>
    <row r="25" spans="1:7" x14ac:dyDescent="0.25">
      <c r="A25" s="12" t="s">
        <v>42</v>
      </c>
      <c r="B25" s="11">
        <v>8</v>
      </c>
      <c r="C25" s="13">
        <f>B25*100/B28</f>
        <v>88.888888888888886</v>
      </c>
      <c r="D25" s="15"/>
      <c r="E25" s="12" t="s">
        <v>42</v>
      </c>
      <c r="F25" s="11">
        <f>F8</f>
        <v>45396</v>
      </c>
      <c r="G25" s="13">
        <f>F25*100/F28</f>
        <v>86.468571428571423</v>
      </c>
    </row>
    <row r="26" spans="1:7" x14ac:dyDescent="0.25">
      <c r="A26" s="12" t="s">
        <v>43</v>
      </c>
      <c r="B26" s="11">
        <v>1</v>
      </c>
      <c r="C26" s="13">
        <f>B26*100/B28</f>
        <v>11.111111111111111</v>
      </c>
      <c r="D26" s="15"/>
      <c r="E26" s="12" t="s">
        <v>43</v>
      </c>
      <c r="F26" s="11">
        <f>E8</f>
        <v>7104</v>
      </c>
      <c r="G26" s="13">
        <f>F26*100/F28</f>
        <v>13.531428571428572</v>
      </c>
    </row>
    <row r="27" spans="1:7" x14ac:dyDescent="0.25">
      <c r="A27" s="17"/>
      <c r="B27" s="18"/>
      <c r="C27" s="19"/>
      <c r="D27" s="20"/>
      <c r="E27" s="17"/>
      <c r="F27" s="18"/>
      <c r="G27" s="19"/>
    </row>
    <row r="28" spans="1:7" x14ac:dyDescent="0.25">
      <c r="A28" s="11" t="s">
        <v>39</v>
      </c>
      <c r="B28" s="11">
        <f>SUM(B25:B27)</f>
        <v>9</v>
      </c>
      <c r="C28" s="13">
        <f>C27+C26+C25</f>
        <v>100</v>
      </c>
      <c r="D28" s="15"/>
      <c r="E28" s="11" t="s">
        <v>39</v>
      </c>
      <c r="F28" s="11">
        <f>SUM(F25:F27)</f>
        <v>52500</v>
      </c>
      <c r="G28" s="13">
        <f>G27+G26+G25</f>
        <v>100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te gjitha programet </vt:lpstr>
      <vt:lpstr>Kryetari</vt:lpstr>
      <vt:lpstr>Kuvendi</vt:lpstr>
      <vt:lpstr>Administrata</vt:lpstr>
      <vt:lpstr>Inspekcioni</vt:lpstr>
      <vt:lpstr>Buxheti</vt:lpstr>
      <vt:lpstr>sherb publike</vt:lpstr>
      <vt:lpstr>Bujqesia</vt:lpstr>
      <vt:lpstr>Kadastra</vt:lpstr>
      <vt:lpstr>Plani urba</vt:lpstr>
      <vt:lpstr>Shendetsia</vt:lpstr>
      <vt:lpstr>Sherb sociale </vt:lpstr>
      <vt:lpstr>kultura</vt:lpstr>
      <vt:lpstr>ZKK</vt:lpstr>
      <vt:lpstr>arsimi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2024-09-30T06:27:47Z</dcterms:modified>
</cp:coreProperties>
</file>