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FEAC389-EB98-4E36-8B7E-938CADA966BF}" xr6:coauthVersionLast="47" xr6:coauthVersionMax="47" xr10:uidLastSave="{00000000-0000-0000-0000-000000000000}"/>
  <bookViews>
    <workbookView xWindow="15" yWindow="15" windowWidth="28770" windowHeight="15450" activeTab="3" xr2:uid="{00000000-000D-0000-FFFF-FFFF00000000}"/>
  </bookViews>
  <sheets>
    <sheet name="2026" sheetId="29" r:id="rId1"/>
    <sheet name="2027" sheetId="30" r:id="rId2"/>
    <sheet name="2025 QB 202502" sheetId="38" r:id="rId3"/>
    <sheet name="Buxhetimi gjinor " sheetId="32" r:id="rId4"/>
  </sheets>
  <externalReferences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30" l="1"/>
  <c r="H27" i="29"/>
  <c r="H65" i="38"/>
  <c r="H51" i="38"/>
  <c r="H50" i="38"/>
  <c r="H27" i="38"/>
  <c r="E32" i="38"/>
  <c r="D74" i="30"/>
  <c r="D77" i="30"/>
  <c r="C76" i="30"/>
  <c r="C73" i="30"/>
  <c r="C70" i="30"/>
  <c r="C67" i="30"/>
  <c r="C65" i="30"/>
  <c r="C64" i="30" s="1"/>
  <c r="C61" i="30"/>
  <c r="C58" i="30"/>
  <c r="C56" i="30"/>
  <c r="C55" i="30"/>
  <c r="C52" i="30"/>
  <c r="C50" i="30"/>
  <c r="C49" i="30" s="1"/>
  <c r="C46" i="30"/>
  <c r="C43" i="30"/>
  <c r="C40" i="30"/>
  <c r="C37" i="30"/>
  <c r="C34" i="30"/>
  <c r="C31" i="30"/>
  <c r="C29" i="30"/>
  <c r="C28" i="30"/>
  <c r="C25" i="30"/>
  <c r="C22" i="30"/>
  <c r="C19" i="30"/>
  <c r="C16" i="30"/>
  <c r="C15" i="30"/>
  <c r="C14" i="30"/>
  <c r="C10" i="30"/>
  <c r="C7" i="30"/>
  <c r="D59" i="30"/>
  <c r="D56" i="30"/>
  <c r="D14" i="30"/>
  <c r="D77" i="29"/>
  <c r="D76" i="29" s="1"/>
  <c r="D74" i="29"/>
  <c r="D71" i="29"/>
  <c r="D68" i="29"/>
  <c r="D59" i="29"/>
  <c r="D56" i="29"/>
  <c r="D32" i="29"/>
  <c r="D31" i="29" s="1"/>
  <c r="D26" i="29"/>
  <c r="D8" i="29"/>
  <c r="D7" i="29" s="1"/>
  <c r="D55" i="29"/>
  <c r="C7" i="29"/>
  <c r="C10" i="29"/>
  <c r="C14" i="29"/>
  <c r="D14" i="29"/>
  <c r="C15" i="29"/>
  <c r="C6" i="29" s="1"/>
  <c r="D15" i="29"/>
  <c r="C16" i="29"/>
  <c r="D16" i="29"/>
  <c r="C19" i="29"/>
  <c r="D19" i="29"/>
  <c r="C22" i="29"/>
  <c r="D22" i="29"/>
  <c r="C25" i="29"/>
  <c r="D25" i="29"/>
  <c r="C28" i="29"/>
  <c r="C29" i="29"/>
  <c r="D30" i="29"/>
  <c r="C31" i="29"/>
  <c r="C34" i="29"/>
  <c r="D35" i="29"/>
  <c r="D29" i="29" s="1"/>
  <c r="D28" i="29" s="1"/>
  <c r="C37" i="29"/>
  <c r="D37" i="29"/>
  <c r="C40" i="29"/>
  <c r="D40" i="29"/>
  <c r="C43" i="29"/>
  <c r="D43" i="29"/>
  <c r="C46" i="29"/>
  <c r="D46" i="29"/>
  <c r="D51" i="29"/>
  <c r="C52" i="29"/>
  <c r="D52" i="29"/>
  <c r="C56" i="29"/>
  <c r="C50" i="29" s="1"/>
  <c r="C49" i="29" s="1"/>
  <c r="C58" i="29"/>
  <c r="D58" i="29"/>
  <c r="C61" i="29"/>
  <c r="D61" i="29"/>
  <c r="C65" i="29"/>
  <c r="C64" i="29" s="1"/>
  <c r="D66" i="29"/>
  <c r="C67" i="29"/>
  <c r="D67" i="29"/>
  <c r="C70" i="29"/>
  <c r="D70" i="29"/>
  <c r="C73" i="29"/>
  <c r="D73" i="29"/>
  <c r="C76" i="29"/>
  <c r="D74" i="38"/>
  <c r="D77" i="38"/>
  <c r="D56" i="38"/>
  <c r="D68" i="38"/>
  <c r="C56" i="38"/>
  <c r="C65" i="38"/>
  <c r="C10" i="38"/>
  <c r="C13" i="30" l="1"/>
  <c r="C6" i="30"/>
  <c r="D6" i="29"/>
  <c r="C55" i="29"/>
  <c r="C5" i="30"/>
  <c r="C4" i="30" s="1"/>
  <c r="D65" i="29"/>
  <c r="D64" i="29" s="1"/>
  <c r="D50" i="29"/>
  <c r="D49" i="29" s="1"/>
  <c r="D5" i="29"/>
  <c r="D4" i="29" s="1"/>
  <c r="C5" i="29"/>
  <c r="C4" i="29" s="1"/>
  <c r="D13" i="29"/>
  <c r="C13" i="29"/>
  <c r="D34" i="29"/>
  <c r="D19" i="38"/>
  <c r="D14" i="38"/>
  <c r="D35" i="38" l="1"/>
  <c r="D10" i="38" l="1"/>
  <c r="D50" i="38" l="1"/>
  <c r="F56" i="38" l="1"/>
  <c r="F32" i="38"/>
  <c r="E32" i="30" l="1"/>
  <c r="E29" i="30"/>
  <c r="D29" i="30"/>
  <c r="E50" i="30" l="1"/>
  <c r="E14" i="30"/>
  <c r="D73" i="30"/>
  <c r="D76" i="30"/>
  <c r="D50" i="30"/>
  <c r="D28" i="30"/>
  <c r="E41" i="30"/>
  <c r="E40" i="30" s="1"/>
  <c r="E76" i="30"/>
  <c r="E73" i="30"/>
  <c r="E70" i="30"/>
  <c r="D70" i="30"/>
  <c r="E67" i="30"/>
  <c r="D67" i="30"/>
  <c r="E66" i="30"/>
  <c r="D66" i="30"/>
  <c r="E65" i="30"/>
  <c r="E61" i="30"/>
  <c r="D61" i="30"/>
  <c r="E58" i="30"/>
  <c r="D58" i="30"/>
  <c r="E55" i="30"/>
  <c r="E52" i="30"/>
  <c r="D52" i="30"/>
  <c r="E51" i="30"/>
  <c r="D51" i="30"/>
  <c r="E46" i="30"/>
  <c r="D46" i="30"/>
  <c r="E43" i="30"/>
  <c r="D43" i="30"/>
  <c r="D40" i="30"/>
  <c r="E38" i="30"/>
  <c r="E37" i="30" s="1"/>
  <c r="D37" i="30"/>
  <c r="D34" i="30"/>
  <c r="E34" i="30"/>
  <c r="E31" i="30"/>
  <c r="D31" i="30"/>
  <c r="E30" i="30"/>
  <c r="E28" i="30" s="1"/>
  <c r="D30" i="30"/>
  <c r="E25" i="30"/>
  <c r="D25" i="30"/>
  <c r="E22" i="30"/>
  <c r="D22" i="30"/>
  <c r="E19" i="30"/>
  <c r="D19" i="30"/>
  <c r="E16" i="30"/>
  <c r="D16" i="30"/>
  <c r="E15" i="30"/>
  <c r="D15" i="30"/>
  <c r="E11" i="30"/>
  <c r="E10" i="30" s="1"/>
  <c r="E7" i="30"/>
  <c r="D7" i="30"/>
  <c r="E32" i="29"/>
  <c r="E56" i="29"/>
  <c r="E41" i="29"/>
  <c r="E40" i="29" s="1"/>
  <c r="E38" i="29"/>
  <c r="E37" i="29" s="1"/>
  <c r="E29" i="29"/>
  <c r="E51" i="29"/>
  <c r="E50" i="29"/>
  <c r="E11" i="29"/>
  <c r="E10" i="29" s="1"/>
  <c r="E15" i="29"/>
  <c r="E30" i="29"/>
  <c r="E76" i="29"/>
  <c r="E73" i="29"/>
  <c r="E70" i="29"/>
  <c r="E67" i="29"/>
  <c r="E66" i="29"/>
  <c r="E65" i="29"/>
  <c r="E64" i="29" s="1"/>
  <c r="E61" i="29"/>
  <c r="E58" i="29"/>
  <c r="E52" i="29"/>
  <c r="E46" i="29"/>
  <c r="E43" i="29"/>
  <c r="E34" i="29"/>
  <c r="E25" i="29"/>
  <c r="E22" i="29"/>
  <c r="E19" i="29"/>
  <c r="E16" i="29"/>
  <c r="E14" i="29"/>
  <c r="E7" i="29"/>
  <c r="E13" i="29" l="1"/>
  <c r="D49" i="30"/>
  <c r="D55" i="30"/>
  <c r="D13" i="30"/>
  <c r="E6" i="30"/>
  <c r="E64" i="30"/>
  <c r="E13" i="30"/>
  <c r="D6" i="30"/>
  <c r="D65" i="30"/>
  <c r="D64" i="30" s="1"/>
  <c r="E49" i="30"/>
  <c r="E28" i="29"/>
  <c r="E6" i="29"/>
  <c r="E49" i="29"/>
  <c r="E31" i="29"/>
  <c r="E55" i="29"/>
  <c r="E5" i="29"/>
  <c r="C16" i="38"/>
  <c r="E5" i="30" l="1"/>
  <c r="E4" i="30" s="1"/>
  <c r="D5" i="30"/>
  <c r="D4" i="30" s="1"/>
  <c r="E4" i="29"/>
  <c r="C50" i="38"/>
  <c r="F32" i="30" l="1"/>
  <c r="H65" i="30"/>
  <c r="F32" i="29"/>
  <c r="H65" i="29"/>
  <c r="H25" i="38"/>
  <c r="I26" i="38"/>
  <c r="I78" i="38"/>
  <c r="I77" i="38"/>
  <c r="I76" i="38" s="1"/>
  <c r="H76" i="38"/>
  <c r="G76" i="38"/>
  <c r="F76" i="38"/>
  <c r="E76" i="38"/>
  <c r="D76" i="38"/>
  <c r="C76" i="38"/>
  <c r="I75" i="38"/>
  <c r="I74" i="38"/>
  <c r="I73" i="38" s="1"/>
  <c r="H73" i="38"/>
  <c r="G73" i="38"/>
  <c r="F73" i="38"/>
  <c r="E73" i="38"/>
  <c r="D73" i="38"/>
  <c r="C73" i="38"/>
  <c r="I72" i="38"/>
  <c r="I71" i="38"/>
  <c r="H70" i="38"/>
  <c r="G70" i="38"/>
  <c r="F70" i="38"/>
  <c r="E70" i="38"/>
  <c r="D70" i="38"/>
  <c r="C70" i="38"/>
  <c r="I69" i="38"/>
  <c r="I68" i="38"/>
  <c r="H67" i="38"/>
  <c r="G67" i="38"/>
  <c r="F67" i="38"/>
  <c r="E67" i="38"/>
  <c r="D67" i="38"/>
  <c r="C67" i="38"/>
  <c r="H66" i="38"/>
  <c r="G66" i="38"/>
  <c r="F66" i="38"/>
  <c r="E66" i="38"/>
  <c r="D66" i="38"/>
  <c r="G65" i="38"/>
  <c r="F65" i="38"/>
  <c r="E65" i="38"/>
  <c r="D65" i="38"/>
  <c r="C64" i="38"/>
  <c r="I63" i="38"/>
  <c r="I62" i="38"/>
  <c r="I61" i="38" s="1"/>
  <c r="H61" i="38"/>
  <c r="G61" i="38"/>
  <c r="F61" i="38"/>
  <c r="E61" i="38"/>
  <c r="D61" i="38"/>
  <c r="C61" i="38"/>
  <c r="I60" i="38"/>
  <c r="I59" i="38"/>
  <c r="H58" i="38"/>
  <c r="G58" i="38"/>
  <c r="F58" i="38"/>
  <c r="E58" i="38"/>
  <c r="D58" i="38"/>
  <c r="C58" i="38"/>
  <c r="I57" i="38"/>
  <c r="E56" i="38"/>
  <c r="E50" i="38" s="1"/>
  <c r="H55" i="38"/>
  <c r="G55" i="38"/>
  <c r="F55" i="38"/>
  <c r="D55" i="38"/>
  <c r="C55" i="38"/>
  <c r="I54" i="38"/>
  <c r="I53" i="38"/>
  <c r="H52" i="38"/>
  <c r="G52" i="38"/>
  <c r="F52" i="38"/>
  <c r="E52" i="38"/>
  <c r="D52" i="38"/>
  <c r="C52" i="38"/>
  <c r="G51" i="38"/>
  <c r="F51" i="38"/>
  <c r="E51" i="38"/>
  <c r="D51" i="38"/>
  <c r="D6" i="38" s="1"/>
  <c r="G50" i="38"/>
  <c r="F50" i="38"/>
  <c r="C49" i="38"/>
  <c r="I48" i="38"/>
  <c r="I47" i="38"/>
  <c r="I46" i="38" s="1"/>
  <c r="H46" i="38"/>
  <c r="G46" i="38"/>
  <c r="F46" i="38"/>
  <c r="E46" i="38"/>
  <c r="D46" i="38"/>
  <c r="C46" i="38"/>
  <c r="I45" i="38"/>
  <c r="I44" i="38"/>
  <c r="I43" i="38" s="1"/>
  <c r="H43" i="38"/>
  <c r="G43" i="38"/>
  <c r="F43" i="38"/>
  <c r="E43" i="38"/>
  <c r="D43" i="38"/>
  <c r="C43" i="38"/>
  <c r="I42" i="38"/>
  <c r="E41" i="38"/>
  <c r="I41" i="38" s="1"/>
  <c r="I40" i="38" s="1"/>
  <c r="H40" i="38"/>
  <c r="G40" i="38"/>
  <c r="F40" i="38"/>
  <c r="D40" i="38"/>
  <c r="C40" i="38"/>
  <c r="I39" i="38"/>
  <c r="E38" i="38"/>
  <c r="I38" i="38" s="1"/>
  <c r="I37" i="38" s="1"/>
  <c r="H37" i="38"/>
  <c r="G37" i="38"/>
  <c r="F37" i="38"/>
  <c r="D37" i="38"/>
  <c r="C37" i="38"/>
  <c r="I36" i="38"/>
  <c r="I35" i="38"/>
  <c r="H34" i="38"/>
  <c r="G34" i="38"/>
  <c r="F34" i="38"/>
  <c r="E34" i="38"/>
  <c r="D34" i="38"/>
  <c r="C34" i="38"/>
  <c r="I33" i="38"/>
  <c r="I32" i="38"/>
  <c r="I31" i="38" s="1"/>
  <c r="H31" i="38"/>
  <c r="G31" i="38"/>
  <c r="F31" i="38"/>
  <c r="E31" i="38"/>
  <c r="D31" i="38"/>
  <c r="C31" i="38"/>
  <c r="H30" i="38"/>
  <c r="G30" i="38"/>
  <c r="F30" i="38"/>
  <c r="E30" i="38"/>
  <c r="D30" i="38"/>
  <c r="H29" i="38"/>
  <c r="G29" i="38"/>
  <c r="F29" i="38"/>
  <c r="E29" i="38"/>
  <c r="D29" i="38"/>
  <c r="C29" i="38"/>
  <c r="I27" i="38"/>
  <c r="G25" i="38"/>
  <c r="F25" i="38"/>
  <c r="E25" i="38"/>
  <c r="D25" i="38"/>
  <c r="C25" i="38"/>
  <c r="I24" i="38"/>
  <c r="I23" i="38"/>
  <c r="H22" i="38"/>
  <c r="G22" i="38"/>
  <c r="F22" i="38"/>
  <c r="E22" i="38"/>
  <c r="D22" i="38"/>
  <c r="C22" i="38"/>
  <c r="I21" i="38"/>
  <c r="I20" i="38"/>
  <c r="H19" i="38"/>
  <c r="G19" i="38"/>
  <c r="F19" i="38"/>
  <c r="E19" i="38"/>
  <c r="C19" i="38"/>
  <c r="I18" i="38"/>
  <c r="I17" i="38"/>
  <c r="H16" i="38"/>
  <c r="G16" i="38"/>
  <c r="F16" i="38"/>
  <c r="E16" i="38"/>
  <c r="D16" i="38"/>
  <c r="I15" i="38"/>
  <c r="H15" i="38"/>
  <c r="H6" i="38" s="1"/>
  <c r="G15" i="38"/>
  <c r="G13" i="38" s="1"/>
  <c r="F15" i="38"/>
  <c r="E15" i="38"/>
  <c r="D15" i="38"/>
  <c r="D13" i="38" s="1"/>
  <c r="C15" i="38"/>
  <c r="H14" i="38"/>
  <c r="F14" i="38"/>
  <c r="E14" i="38"/>
  <c r="C14" i="38"/>
  <c r="C5" i="38" s="1"/>
  <c r="I12" i="38"/>
  <c r="E11" i="38"/>
  <c r="I11" i="38" s="1"/>
  <c r="H10" i="38"/>
  <c r="G10" i="38"/>
  <c r="F10" i="38"/>
  <c r="I9" i="38"/>
  <c r="I8" i="38"/>
  <c r="H7" i="38"/>
  <c r="G7" i="38"/>
  <c r="F7" i="38"/>
  <c r="E7" i="38"/>
  <c r="D7" i="38"/>
  <c r="C7" i="38"/>
  <c r="I51" i="38" l="1"/>
  <c r="I34" i="38"/>
  <c r="F28" i="38"/>
  <c r="E55" i="38"/>
  <c r="G5" i="38"/>
  <c r="F49" i="38"/>
  <c r="H28" i="38"/>
  <c r="H13" i="38"/>
  <c r="I30" i="38"/>
  <c r="F6" i="38"/>
  <c r="I56" i="38"/>
  <c r="I55" i="38" s="1"/>
  <c r="F64" i="38"/>
  <c r="F13" i="38"/>
  <c r="F5" i="38"/>
  <c r="I7" i="38"/>
  <c r="I52" i="38"/>
  <c r="I25" i="38"/>
  <c r="C28" i="38"/>
  <c r="I66" i="38"/>
  <c r="E28" i="38"/>
  <c r="E49" i="38"/>
  <c r="I58" i="38"/>
  <c r="D28" i="38"/>
  <c r="D5" i="38"/>
  <c r="D4" i="38" s="1"/>
  <c r="E13" i="38"/>
  <c r="I16" i="38"/>
  <c r="I70" i="38"/>
  <c r="E64" i="38"/>
  <c r="G28" i="38"/>
  <c r="G49" i="38"/>
  <c r="I22" i="38"/>
  <c r="G64" i="38"/>
  <c r="I67" i="38"/>
  <c r="I19" i="38"/>
  <c r="H49" i="38"/>
  <c r="I14" i="38"/>
  <c r="I13" i="38" s="1"/>
  <c r="D64" i="38"/>
  <c r="C13" i="38"/>
  <c r="I65" i="38"/>
  <c r="D49" i="38"/>
  <c r="I29" i="38"/>
  <c r="H5" i="38"/>
  <c r="H4" i="38" s="1"/>
  <c r="H64" i="38"/>
  <c r="E5" i="38"/>
  <c r="C6" i="38"/>
  <c r="G6" i="38"/>
  <c r="G4" i="38" s="1"/>
  <c r="E37" i="38"/>
  <c r="E40" i="38"/>
  <c r="E6" i="38"/>
  <c r="E10" i="38"/>
  <c r="I10" i="38" s="1"/>
  <c r="I50" i="38" l="1"/>
  <c r="I49" i="38" s="1"/>
  <c r="I28" i="38"/>
  <c r="F4" i="38"/>
  <c r="I6" i="38"/>
  <c r="I64" i="38"/>
  <c r="C4" i="38"/>
  <c r="I5" i="38"/>
  <c r="I4" i="38" s="1"/>
  <c r="E4" i="38"/>
  <c r="G75" i="32" l="1"/>
  <c r="G78" i="32"/>
  <c r="G18" i="32"/>
  <c r="G15" i="32"/>
  <c r="E18" i="32"/>
  <c r="C60" i="32"/>
  <c r="E78" i="32"/>
  <c r="E75" i="32"/>
  <c r="C78" i="32"/>
  <c r="C75" i="32"/>
  <c r="E72" i="32"/>
  <c r="C69" i="32"/>
  <c r="C72" i="32"/>
  <c r="G69" i="32"/>
  <c r="E69" i="32"/>
  <c r="G63" i="32"/>
  <c r="E63" i="32"/>
  <c r="G60" i="32"/>
  <c r="E60" i="32"/>
  <c r="G57" i="32"/>
  <c r="E57" i="32"/>
  <c r="E54" i="32"/>
  <c r="G54" i="32"/>
  <c r="G48" i="32"/>
  <c r="E48" i="32"/>
  <c r="E45" i="32"/>
  <c r="C45" i="32"/>
  <c r="C42" i="32"/>
  <c r="G33" i="32"/>
  <c r="E33" i="32"/>
  <c r="E27" i="32"/>
  <c r="G27" i="32"/>
  <c r="G12" i="32"/>
  <c r="E12" i="32"/>
  <c r="E9" i="32"/>
  <c r="I78" i="30" l="1"/>
  <c r="I77" i="30"/>
  <c r="H76" i="30"/>
  <c r="G76" i="30"/>
  <c r="F76" i="30"/>
  <c r="I75" i="30"/>
  <c r="I74" i="30"/>
  <c r="I73" i="30" s="1"/>
  <c r="H73" i="30"/>
  <c r="G73" i="30"/>
  <c r="F73" i="30"/>
  <c r="I72" i="30"/>
  <c r="I71" i="30"/>
  <c r="H70" i="30"/>
  <c r="G70" i="30"/>
  <c r="F70" i="30"/>
  <c r="I69" i="30"/>
  <c r="I68" i="30"/>
  <c r="H67" i="30"/>
  <c r="G67" i="30"/>
  <c r="F67" i="30"/>
  <c r="H66" i="30"/>
  <c r="G66" i="30"/>
  <c r="F66" i="30"/>
  <c r="F64" i="30" s="1"/>
  <c r="G65" i="30"/>
  <c r="F65" i="30"/>
  <c r="I63" i="30"/>
  <c r="I62" i="30"/>
  <c r="H61" i="30"/>
  <c r="G61" i="30"/>
  <c r="F61" i="30"/>
  <c r="I60" i="30"/>
  <c r="I59" i="30"/>
  <c r="H58" i="30"/>
  <c r="G58" i="30"/>
  <c r="F58" i="30"/>
  <c r="I57" i="30"/>
  <c r="H55" i="30"/>
  <c r="G55" i="30"/>
  <c r="F55" i="30"/>
  <c r="I54" i="30"/>
  <c r="I53" i="30"/>
  <c r="H52" i="30"/>
  <c r="G52" i="30"/>
  <c r="F52" i="30"/>
  <c r="H51" i="30"/>
  <c r="G51" i="30"/>
  <c r="F51" i="30"/>
  <c r="H50" i="30"/>
  <c r="G50" i="30"/>
  <c r="F50" i="30"/>
  <c r="I48" i="30"/>
  <c r="I47" i="30"/>
  <c r="H46" i="30"/>
  <c r="G46" i="30"/>
  <c r="F46" i="30"/>
  <c r="I45" i="30"/>
  <c r="I44" i="30"/>
  <c r="H43" i="30"/>
  <c r="G43" i="30"/>
  <c r="F43" i="30"/>
  <c r="I42" i="30"/>
  <c r="I41" i="30"/>
  <c r="H40" i="30"/>
  <c r="G40" i="30"/>
  <c r="F40" i="30"/>
  <c r="I39" i="30"/>
  <c r="I38" i="30"/>
  <c r="H37" i="30"/>
  <c r="G37" i="30"/>
  <c r="F37" i="30"/>
  <c r="I36" i="30"/>
  <c r="I35" i="30"/>
  <c r="H34" i="30"/>
  <c r="G34" i="30"/>
  <c r="F34" i="30"/>
  <c r="I33" i="30"/>
  <c r="I32" i="30"/>
  <c r="H31" i="30"/>
  <c r="G31" i="30"/>
  <c r="F31" i="30"/>
  <c r="H30" i="30"/>
  <c r="G30" i="30"/>
  <c r="F30" i="30"/>
  <c r="H29" i="30"/>
  <c r="H28" i="30" s="1"/>
  <c r="G29" i="30"/>
  <c r="F29" i="30"/>
  <c r="H25" i="30"/>
  <c r="I26" i="30"/>
  <c r="G25" i="30"/>
  <c r="F25" i="30"/>
  <c r="I24" i="30"/>
  <c r="I23" i="30"/>
  <c r="H22" i="30"/>
  <c r="G22" i="30"/>
  <c r="F22" i="30"/>
  <c r="I21" i="30"/>
  <c r="I20" i="30"/>
  <c r="H19" i="30"/>
  <c r="G19" i="30"/>
  <c r="F19" i="30"/>
  <c r="I18" i="30"/>
  <c r="I17" i="30"/>
  <c r="H16" i="30"/>
  <c r="G16" i="30"/>
  <c r="F16" i="30"/>
  <c r="H15" i="30"/>
  <c r="G15" i="30"/>
  <c r="G13" i="30" s="1"/>
  <c r="F15" i="30"/>
  <c r="F13" i="30" s="1"/>
  <c r="H14" i="30"/>
  <c r="H13" i="30" s="1"/>
  <c r="F14" i="30"/>
  <c r="I12" i="30"/>
  <c r="H10" i="30"/>
  <c r="G10" i="30"/>
  <c r="F10" i="30"/>
  <c r="I10" i="30" s="1"/>
  <c r="I9" i="30"/>
  <c r="I8" i="30"/>
  <c r="H7" i="30"/>
  <c r="G7" i="30"/>
  <c r="F7" i="30"/>
  <c r="I33" i="29"/>
  <c r="I27" i="29"/>
  <c r="I32" i="29"/>
  <c r="I78" i="29"/>
  <c r="I77" i="29"/>
  <c r="H76" i="29"/>
  <c r="G76" i="29"/>
  <c r="F76" i="29"/>
  <c r="I75" i="29"/>
  <c r="I74" i="29"/>
  <c r="H73" i="29"/>
  <c r="G73" i="29"/>
  <c r="F73" i="29"/>
  <c r="I72" i="29"/>
  <c r="I71" i="29"/>
  <c r="H70" i="29"/>
  <c r="G70" i="29"/>
  <c r="F70" i="29"/>
  <c r="I69" i="29"/>
  <c r="I68" i="29"/>
  <c r="H67" i="29"/>
  <c r="G67" i="29"/>
  <c r="F67" i="29"/>
  <c r="H66" i="29"/>
  <c r="G66" i="29"/>
  <c r="F66" i="29"/>
  <c r="G65" i="29"/>
  <c r="F65" i="29"/>
  <c r="F64" i="29"/>
  <c r="I63" i="29"/>
  <c r="I62" i="29"/>
  <c r="H61" i="29"/>
  <c r="G61" i="29"/>
  <c r="F61" i="29"/>
  <c r="I60" i="29"/>
  <c r="I59" i="29"/>
  <c r="H58" i="29"/>
  <c r="G58" i="29"/>
  <c r="F58" i="29"/>
  <c r="I57" i="29"/>
  <c r="I56" i="29"/>
  <c r="H55" i="29"/>
  <c r="G55" i="29"/>
  <c r="F55" i="29"/>
  <c r="I54" i="29"/>
  <c r="I53" i="29"/>
  <c r="H52" i="29"/>
  <c r="G52" i="29"/>
  <c r="F52" i="29"/>
  <c r="H51" i="29"/>
  <c r="G51" i="29"/>
  <c r="F51" i="29"/>
  <c r="H50" i="29"/>
  <c r="G50" i="29"/>
  <c r="G49" i="29" s="1"/>
  <c r="F50" i="29"/>
  <c r="F49" i="29" s="1"/>
  <c r="I48" i="29"/>
  <c r="I47" i="29"/>
  <c r="H46" i="29"/>
  <c r="G46" i="29"/>
  <c r="F46" i="29"/>
  <c r="I45" i="29"/>
  <c r="I44" i="29"/>
  <c r="H43" i="29"/>
  <c r="G43" i="29"/>
  <c r="F43" i="29"/>
  <c r="I42" i="29"/>
  <c r="I41" i="29"/>
  <c r="H40" i="29"/>
  <c r="G40" i="29"/>
  <c r="F40" i="29"/>
  <c r="I39" i="29"/>
  <c r="I38" i="29"/>
  <c r="I37" i="29" s="1"/>
  <c r="H37" i="29"/>
  <c r="G37" i="29"/>
  <c r="F37" i="29"/>
  <c r="I36" i="29"/>
  <c r="I35" i="29"/>
  <c r="H34" i="29"/>
  <c r="G34" i="29"/>
  <c r="F34" i="29"/>
  <c r="H31" i="29"/>
  <c r="G31" i="29"/>
  <c r="F31" i="29"/>
  <c r="H30" i="29"/>
  <c r="G30" i="29"/>
  <c r="F30" i="29"/>
  <c r="H29" i="29"/>
  <c r="H28" i="29" s="1"/>
  <c r="G29" i="29"/>
  <c r="F29" i="29"/>
  <c r="F28" i="29" s="1"/>
  <c r="I26" i="29"/>
  <c r="G25" i="29"/>
  <c r="F25" i="29"/>
  <c r="I24" i="29"/>
  <c r="I23" i="29"/>
  <c r="H22" i="29"/>
  <c r="G22" i="29"/>
  <c r="F22" i="29"/>
  <c r="I21" i="29"/>
  <c r="I20" i="29"/>
  <c r="H19" i="29"/>
  <c r="G19" i="29"/>
  <c r="F19" i="29"/>
  <c r="I18" i="29"/>
  <c r="I17" i="29"/>
  <c r="H16" i="29"/>
  <c r="G16" i="29"/>
  <c r="F16" i="29"/>
  <c r="H15" i="29"/>
  <c r="G15" i="29"/>
  <c r="F15" i="29"/>
  <c r="H14" i="29"/>
  <c r="F14" i="29"/>
  <c r="G13" i="29"/>
  <c r="I12" i="29"/>
  <c r="I11" i="29"/>
  <c r="H10" i="29"/>
  <c r="G10" i="29"/>
  <c r="F10" i="29"/>
  <c r="I10" i="29"/>
  <c r="I9" i="29"/>
  <c r="I8" i="29"/>
  <c r="H7" i="29"/>
  <c r="G7" i="29"/>
  <c r="F7" i="29"/>
  <c r="F6" i="29"/>
  <c r="F28" i="30" l="1"/>
  <c r="F49" i="30"/>
  <c r="G64" i="30"/>
  <c r="G5" i="30"/>
  <c r="F5" i="29"/>
  <c r="F4" i="29" s="1"/>
  <c r="I46" i="29"/>
  <c r="G5" i="29"/>
  <c r="I66" i="29"/>
  <c r="I51" i="30"/>
  <c r="H49" i="30"/>
  <c r="H49" i="29"/>
  <c r="H5" i="29"/>
  <c r="I5" i="29" s="1"/>
  <c r="I66" i="30"/>
  <c r="F6" i="30"/>
  <c r="F13" i="29"/>
  <c r="I15" i="29"/>
  <c r="I40" i="30"/>
  <c r="I61" i="30"/>
  <c r="G6" i="29"/>
  <c r="G4" i="29" s="1"/>
  <c r="G64" i="29"/>
  <c r="G28" i="30"/>
  <c r="I76" i="30"/>
  <c r="I22" i="30"/>
  <c r="G49" i="30"/>
  <c r="I16" i="29"/>
  <c r="H64" i="30"/>
  <c r="I70" i="30"/>
  <c r="I16" i="30"/>
  <c r="I14" i="30"/>
  <c r="I30" i="30"/>
  <c r="I15" i="30"/>
  <c r="I7" i="30"/>
  <c r="I31" i="30"/>
  <c r="I43" i="30"/>
  <c r="I67" i="30"/>
  <c r="I34" i="30"/>
  <c r="I46" i="30"/>
  <c r="I52" i="30"/>
  <c r="I19" i="30"/>
  <c r="I37" i="30"/>
  <c r="I58" i="30"/>
  <c r="I30" i="29"/>
  <c r="I40" i="29"/>
  <c r="I51" i="29"/>
  <c r="I43" i="29"/>
  <c r="I67" i="29"/>
  <c r="I14" i="29"/>
  <c r="I52" i="29"/>
  <c r="I7" i="29"/>
  <c r="I34" i="29"/>
  <c r="I70" i="29"/>
  <c r="I58" i="29"/>
  <c r="I76" i="29"/>
  <c r="F5" i="30"/>
  <c r="I29" i="30"/>
  <c r="H5" i="30"/>
  <c r="I65" i="30"/>
  <c r="G6" i="30"/>
  <c r="G4" i="30" s="1"/>
  <c r="I11" i="30"/>
  <c r="I27" i="30"/>
  <c r="I25" i="30" s="1"/>
  <c r="I56" i="30"/>
  <c r="H6" i="30"/>
  <c r="I25" i="29"/>
  <c r="I73" i="29"/>
  <c r="I61" i="29"/>
  <c r="I55" i="29"/>
  <c r="I31" i="29"/>
  <c r="I29" i="29"/>
  <c r="I22" i="29"/>
  <c r="I19" i="29"/>
  <c r="H13" i="29"/>
  <c r="H6" i="29"/>
  <c r="G28" i="29"/>
  <c r="H64" i="29"/>
  <c r="I65" i="29"/>
  <c r="H25" i="29"/>
  <c r="I50" i="29"/>
  <c r="I13" i="29" l="1"/>
  <c r="I49" i="29"/>
  <c r="F4" i="30"/>
  <c r="I13" i="30"/>
  <c r="H4" i="30"/>
  <c r="I28" i="30"/>
  <c r="I28" i="29"/>
  <c r="I64" i="30"/>
  <c r="I6" i="30"/>
  <c r="I55" i="30"/>
  <c r="I50" i="30"/>
  <c r="I49" i="30" s="1"/>
  <c r="I6" i="29"/>
  <c r="I64" i="29"/>
  <c r="H4" i="29"/>
  <c r="I5" i="30" l="1"/>
  <c r="I4" i="29"/>
  <c r="I4" i="30" l="1"/>
  <c r="F51" i="32" l="1"/>
  <c r="F50" i="32" s="1"/>
  <c r="G66" i="32" l="1"/>
  <c r="D66" i="32"/>
  <c r="D65" i="32" s="1"/>
  <c r="E66" i="32"/>
  <c r="F66" i="32"/>
  <c r="F65" i="32" s="1"/>
  <c r="H78" i="32"/>
  <c r="H36" i="32"/>
  <c r="H10" i="32"/>
  <c r="H13" i="32"/>
  <c r="H19" i="32"/>
  <c r="H22" i="32"/>
  <c r="H25" i="32"/>
  <c r="H28" i="32"/>
  <c r="H34" i="32"/>
  <c r="H37" i="32"/>
  <c r="H39" i="32"/>
  <c r="H40" i="32"/>
  <c r="H43" i="32"/>
  <c r="H46" i="32"/>
  <c r="H49" i="32"/>
  <c r="H55" i="32"/>
  <c r="H58" i="32"/>
  <c r="H61" i="32"/>
  <c r="H64" i="32"/>
  <c r="H69" i="32"/>
  <c r="H70" i="32"/>
  <c r="H72" i="32"/>
  <c r="H73" i="32"/>
  <c r="H76" i="32"/>
  <c r="H79" i="32"/>
  <c r="D15" i="32"/>
  <c r="F15" i="32"/>
  <c r="H57" i="32"/>
  <c r="G77" i="32"/>
  <c r="E53" i="32"/>
  <c r="E59" i="32"/>
  <c r="E47" i="32"/>
  <c r="E44" i="32"/>
  <c r="G41" i="32"/>
  <c r="E42" i="32"/>
  <c r="G32" i="32"/>
  <c r="G26" i="32"/>
  <c r="H24" i="32"/>
  <c r="H21" i="32"/>
  <c r="E17" i="32"/>
  <c r="G11" i="32"/>
  <c r="D8" i="32"/>
  <c r="F77" i="32"/>
  <c r="F74" i="32"/>
  <c r="G71" i="32"/>
  <c r="F71" i="32"/>
  <c r="G68" i="32"/>
  <c r="F68" i="32"/>
  <c r="G67" i="32"/>
  <c r="G62" i="32"/>
  <c r="F62" i="32"/>
  <c r="G59" i="32"/>
  <c r="F59" i="32"/>
  <c r="G56" i="32"/>
  <c r="F56" i="32"/>
  <c r="F53" i="32"/>
  <c r="G52" i="32"/>
  <c r="G51" i="32"/>
  <c r="G47" i="32"/>
  <c r="F47" i="32"/>
  <c r="G44" i="32"/>
  <c r="F44" i="32"/>
  <c r="F41" i="32"/>
  <c r="G38" i="32"/>
  <c r="F38" i="32"/>
  <c r="G35" i="32"/>
  <c r="F35" i="32"/>
  <c r="F32" i="32"/>
  <c r="G31" i="32"/>
  <c r="G30" i="32"/>
  <c r="F30" i="32"/>
  <c r="F29" i="32" s="1"/>
  <c r="F26" i="32"/>
  <c r="F23" i="32"/>
  <c r="F20" i="32"/>
  <c r="F17" i="32"/>
  <c r="G16" i="32"/>
  <c r="F16" i="32"/>
  <c r="F7" i="32" s="1"/>
  <c r="F8" i="32"/>
  <c r="E77" i="32"/>
  <c r="D77" i="32"/>
  <c r="E74" i="32"/>
  <c r="D74" i="32"/>
  <c r="E71" i="32"/>
  <c r="D71" i="32"/>
  <c r="E68" i="32"/>
  <c r="D68" i="32"/>
  <c r="E67" i="32"/>
  <c r="D62" i="32"/>
  <c r="D59" i="32"/>
  <c r="E56" i="32"/>
  <c r="D56" i="32"/>
  <c r="D53" i="32"/>
  <c r="E52" i="32"/>
  <c r="E51" i="32"/>
  <c r="E50" i="32" s="1"/>
  <c r="D51" i="32"/>
  <c r="D50" i="32" s="1"/>
  <c r="D47" i="32"/>
  <c r="D44" i="32"/>
  <c r="D41" i="32"/>
  <c r="E38" i="32"/>
  <c r="D38" i="32"/>
  <c r="E35" i="32"/>
  <c r="D35" i="32"/>
  <c r="D32" i="32"/>
  <c r="E31" i="32"/>
  <c r="D30" i="32"/>
  <c r="D29" i="32" s="1"/>
  <c r="E26" i="32"/>
  <c r="D26" i="32"/>
  <c r="E23" i="32"/>
  <c r="D23" i="32"/>
  <c r="E20" i="32"/>
  <c r="D20" i="32"/>
  <c r="D17" i="32"/>
  <c r="E16" i="32"/>
  <c r="H16" i="32" s="1"/>
  <c r="D16" i="32"/>
  <c r="D7" i="32" s="1"/>
  <c r="E11" i="32"/>
  <c r="E8" i="32"/>
  <c r="C77" i="32"/>
  <c r="C74" i="32"/>
  <c r="C71" i="32"/>
  <c r="C68" i="32"/>
  <c r="C66" i="32"/>
  <c r="C65" i="32" s="1"/>
  <c r="C62" i="32"/>
  <c r="C59" i="32"/>
  <c r="C56" i="32"/>
  <c r="C53" i="32"/>
  <c r="C51" i="32"/>
  <c r="C50" i="32" s="1"/>
  <c r="C47" i="32"/>
  <c r="C44" i="32"/>
  <c r="C41" i="32"/>
  <c r="C38" i="32"/>
  <c r="C35" i="32"/>
  <c r="C32" i="32"/>
  <c r="C30" i="32"/>
  <c r="C29" i="32" s="1"/>
  <c r="C26" i="32"/>
  <c r="C23" i="32"/>
  <c r="C20" i="32"/>
  <c r="C17" i="32"/>
  <c r="C16" i="32"/>
  <c r="C7" i="32" s="1"/>
  <c r="C15" i="32"/>
  <c r="C8" i="32"/>
  <c r="G7" i="32" l="1"/>
  <c r="H31" i="32"/>
  <c r="H67" i="32"/>
  <c r="H56" i="32"/>
  <c r="H47" i="32"/>
  <c r="G29" i="32"/>
  <c r="G50" i="32"/>
  <c r="H50" i="32" s="1"/>
  <c r="H33" i="32"/>
  <c r="H63" i="32"/>
  <c r="H11" i="32"/>
  <c r="H38" i="32"/>
  <c r="H12" i="32"/>
  <c r="C6" i="32"/>
  <c r="C5" i="32" s="1"/>
  <c r="H26" i="32"/>
  <c r="H27" i="32"/>
  <c r="H42" i="32"/>
  <c r="H48" i="32"/>
  <c r="H52" i="32"/>
  <c r="H7" i="32" s="1"/>
  <c r="H71" i="32"/>
  <c r="F14" i="32"/>
  <c r="H77" i="32"/>
  <c r="D6" i="32"/>
  <c r="D5" i="32" s="1"/>
  <c r="H59" i="32"/>
  <c r="H35" i="32"/>
  <c r="H44" i="32"/>
  <c r="E7" i="32"/>
  <c r="E30" i="32"/>
  <c r="E62" i="32"/>
  <c r="H62" i="32" s="1"/>
  <c r="G20" i="32"/>
  <c r="H20" i="32" s="1"/>
  <c r="G14" i="32"/>
  <c r="H60" i="32"/>
  <c r="D14" i="32"/>
  <c r="F6" i="32"/>
  <c r="F5" i="32" s="1"/>
  <c r="H18" i="32"/>
  <c r="H45" i="32"/>
  <c r="C14" i="32"/>
  <c r="G23" i="32"/>
  <c r="H23" i="32" s="1"/>
  <c r="E15" i="32"/>
  <c r="H54" i="32"/>
  <c r="H75" i="32"/>
  <c r="H51" i="32"/>
  <c r="H68" i="32"/>
  <c r="E65" i="32"/>
  <c r="G65" i="32"/>
  <c r="G17" i="32"/>
  <c r="H17" i="32" s="1"/>
  <c r="G74" i="32"/>
  <c r="H74" i="32" s="1"/>
  <c r="G53" i="32"/>
  <c r="H53" i="32" s="1"/>
  <c r="E41" i="32"/>
  <c r="H41" i="32" s="1"/>
  <c r="E32" i="32"/>
  <c r="H32" i="32" s="1"/>
  <c r="E6" i="32" l="1"/>
  <c r="E5" i="32" s="1"/>
  <c r="H65" i="32"/>
  <c r="E29" i="32"/>
  <c r="H29" i="32" s="1"/>
  <c r="H30" i="32"/>
  <c r="H66" i="32"/>
  <c r="H15" i="32"/>
  <c r="E14" i="32"/>
  <c r="H14" i="32" s="1"/>
  <c r="H9" i="32" l="1"/>
  <c r="H6" i="32" s="1"/>
  <c r="G6" i="32" l="1"/>
  <c r="G5" i="32" s="1"/>
  <c r="G8" i="32"/>
  <c r="H8" i="32" s="1"/>
  <c r="H5" i="32" l="1"/>
  <c r="A2" i="32"/>
  <c r="A1" i="38"/>
</calcChain>
</file>

<file path=xl/sharedStrings.xml><?xml version="1.0" encoding="utf-8"?>
<sst xmlns="http://schemas.openxmlformats.org/spreadsheetml/2006/main" count="388" uniqueCount="57">
  <si>
    <t>Nr.</t>
  </si>
  <si>
    <t>Përshkrimi</t>
  </si>
  <si>
    <t>Stafi</t>
  </si>
  <si>
    <t>Mallrat dhe shërbimet</t>
  </si>
  <si>
    <t>Shpenzimet komunale</t>
  </si>
  <si>
    <t>Subvencionet dhe transferet</t>
  </si>
  <si>
    <t>Shpenzimet kapitale</t>
  </si>
  <si>
    <t>Total</t>
  </si>
  <si>
    <t>a</t>
  </si>
  <si>
    <t>d</t>
  </si>
  <si>
    <t>e</t>
  </si>
  <si>
    <t>f</t>
  </si>
  <si>
    <t>g</t>
  </si>
  <si>
    <t>h</t>
  </si>
  <si>
    <t>i</t>
  </si>
  <si>
    <t>j</t>
  </si>
  <si>
    <t>k</t>
  </si>
  <si>
    <t>SHPENZIMET TOTALE KOMUNALE</t>
  </si>
  <si>
    <t xml:space="preserve">Grantet Qeveritare </t>
  </si>
  <si>
    <t>Të hyrat vetanake</t>
  </si>
  <si>
    <t>Zyra e Kryetarit</t>
  </si>
  <si>
    <t xml:space="preserve">Zyra e Kuvendit Komunal </t>
  </si>
  <si>
    <t xml:space="preserve">Administrata                               </t>
  </si>
  <si>
    <t>Komunikimi</t>
  </si>
  <si>
    <t xml:space="preserve">Inspektimet </t>
  </si>
  <si>
    <t>Shërbimet publike, mbrojtja civile, emergjenca</t>
  </si>
  <si>
    <t xml:space="preserve">Infrastruktura publike </t>
  </si>
  <si>
    <t>Zjarrëfikësit dhe inspektimet</t>
  </si>
  <si>
    <t xml:space="preserve">Shëndetësia dhe mirëqenia sociale </t>
  </si>
  <si>
    <t xml:space="preserve">Administrata </t>
  </si>
  <si>
    <t>Shërbimet e shëndetësisë primare</t>
  </si>
  <si>
    <t xml:space="preserve">Sherbimet sociale </t>
  </si>
  <si>
    <t xml:space="preserve">Shërbimet kulturore </t>
  </si>
  <si>
    <t xml:space="preserve">Arsimi parashkollor dhe qerdhet </t>
  </si>
  <si>
    <t>Arsimi fillor</t>
  </si>
  <si>
    <t xml:space="preserve">Arsimi I mesëm </t>
  </si>
  <si>
    <t>6.1</t>
  </si>
  <si>
    <t>6.2</t>
  </si>
  <si>
    <t>Bujqësi, pylltari dhe zhvill rur</t>
  </si>
  <si>
    <t xml:space="preserve">Kadastra dhe gjeodezia </t>
  </si>
  <si>
    <t>11.1</t>
  </si>
  <si>
    <t>11.2</t>
  </si>
  <si>
    <t xml:space="preserve">Totali </t>
  </si>
  <si>
    <t xml:space="preserve">ZKK </t>
  </si>
  <si>
    <t>*</t>
  </si>
  <si>
    <t xml:space="preserve">Planifikimi urban </t>
  </si>
  <si>
    <t>Financa,Ekonomi dhe Zhvillim</t>
  </si>
  <si>
    <t xml:space="preserve">Arsimi </t>
  </si>
  <si>
    <t xml:space="preserve"> Plani i ndarjeve buxhetore të shpenzimeve totale të komunës për vitin  2025 </t>
  </si>
  <si>
    <t>B</t>
  </si>
  <si>
    <t xml:space="preserve">shuma </t>
  </si>
  <si>
    <t xml:space="preserve">femra </t>
  </si>
  <si>
    <t xml:space="preserve">meshkuj  </t>
  </si>
  <si>
    <t xml:space="preserve">Pagat dhe shtesa </t>
  </si>
  <si>
    <t xml:space="preserve"> Plani i ndarjeve buxhetore të shpenzimeve totale të komunës për vitin  2026 </t>
  </si>
  <si>
    <t xml:space="preserve"> Plani i ndarjeve buxhetore të shpenzimeve totale të komunës për vitin  2027 </t>
  </si>
  <si>
    <t xml:space="preserve"> Plani i ndarjeve buxhetore të shpenzimeve totale të komunës për vitin  2025  në baza gjinore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</si>
</sst>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L_e_k_-;\-* #,##0.00_L_e_k_-;_-* &quot;-&quot;??_L_e_k_-;_-@_-"/>
    <numFmt numFmtId="165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sz val="11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</font>
    <font>
      <b/>
      <sz val="8"/>
      <color rgb="FFFF0000"/>
      <name val="Calibri"/>
      <family val="2"/>
    </font>
    <font>
      <sz val="10"/>
      <color rgb="FFFF0000"/>
      <name val="Calibri"/>
      <family val="2"/>
      <scheme val="minor"/>
    </font>
    <font>
      <sz val="9"/>
      <name val="Calibri"/>
      <family val="2"/>
    </font>
    <font>
      <sz val="8"/>
      <name val="Calibri"/>
      <family val="2"/>
    </font>
    <font>
      <b/>
      <i/>
      <sz val="9"/>
      <name val="Calibri"/>
      <family val="2"/>
    </font>
    <font>
      <b/>
      <sz val="10"/>
      <color rgb="FFFF0000"/>
      <name val="Calibri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11" fillId="2" borderId="1" xfId="0" applyFont="1" applyFill="1" applyBorder="1"/>
    <xf numFmtId="0" fontId="11" fillId="3" borderId="1" xfId="0" applyFont="1" applyFill="1" applyBorder="1"/>
    <xf numFmtId="0" fontId="17" fillId="0" borderId="1" xfId="0" applyFont="1" applyFill="1" applyBorder="1" applyAlignment="1" applyProtection="1">
      <alignment horizontal="left" indent="1"/>
      <protection locked="0"/>
    </xf>
    <xf numFmtId="0" fontId="7" fillId="3" borderId="1" xfId="0" applyFont="1" applyFill="1" applyBorder="1"/>
    <xf numFmtId="165" fontId="4" fillId="2" borderId="1" xfId="1" applyNumberFormat="1" applyFont="1" applyFill="1" applyBorder="1"/>
    <xf numFmtId="1" fontId="11" fillId="2" borderId="1" xfId="0" applyNumberFormat="1" applyFont="1" applyFill="1" applyBorder="1"/>
    <xf numFmtId="1" fontId="9" fillId="2" borderId="1" xfId="0" applyNumberFormat="1" applyFont="1" applyFill="1" applyBorder="1"/>
    <xf numFmtId="1" fontId="10" fillId="2" borderId="1" xfId="0" applyNumberFormat="1" applyFont="1" applyFill="1" applyBorder="1"/>
    <xf numFmtId="1" fontId="6" fillId="2" borderId="1" xfId="0" applyNumberFormat="1" applyFont="1" applyFill="1" applyBorder="1"/>
    <xf numFmtId="1" fontId="5" fillId="2" borderId="1" xfId="0" applyNumberFormat="1" applyFont="1" applyFill="1" applyBorder="1"/>
    <xf numFmtId="1" fontId="8" fillId="2" borderId="1" xfId="0" applyNumberFormat="1" applyFont="1" applyFill="1" applyBorder="1"/>
    <xf numFmtId="1" fontId="7" fillId="2" borderId="1" xfId="0" applyNumberFormat="1" applyFont="1" applyFill="1" applyBorder="1"/>
    <xf numFmtId="1" fontId="0" fillId="0" borderId="1" xfId="0" applyNumberFormat="1" applyBorder="1"/>
    <xf numFmtId="0" fontId="0" fillId="0" borderId="0" xfId="0" applyFill="1"/>
    <xf numFmtId="0" fontId="2" fillId="0" borderId="0" xfId="0" applyFont="1" applyFill="1"/>
    <xf numFmtId="0" fontId="2" fillId="0" borderId="1" xfId="0" applyFont="1" applyFill="1" applyBorder="1" applyAlignment="1">
      <alignment horizontal="left"/>
    </xf>
    <xf numFmtId="0" fontId="7" fillId="0" borderId="1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1" fontId="17" fillId="0" borderId="1" xfId="1" applyNumberFormat="1" applyFont="1" applyFill="1" applyBorder="1"/>
    <xf numFmtId="165" fontId="4" fillId="0" borderId="1" xfId="1" applyNumberFormat="1" applyFont="1" applyFill="1" applyBorder="1"/>
    <xf numFmtId="0" fontId="9" fillId="0" borderId="1" xfId="0" applyFont="1" applyFill="1" applyBorder="1" applyAlignment="1">
      <alignment horizontal="left"/>
    </xf>
    <xf numFmtId="0" fontId="11" fillId="0" borderId="1" xfId="0" applyFont="1" applyFill="1" applyBorder="1"/>
    <xf numFmtId="1" fontId="11" fillId="0" borderId="1" xfId="0" applyNumberFormat="1" applyFont="1" applyFill="1" applyBorder="1"/>
    <xf numFmtId="0" fontId="15" fillId="0" borderId="1" xfId="0" applyFont="1" applyFill="1" applyBorder="1" applyAlignment="1">
      <alignment horizontal="left"/>
    </xf>
    <xf numFmtId="0" fontId="6" fillId="0" borderId="1" xfId="0" applyFont="1" applyFill="1" applyBorder="1"/>
    <xf numFmtId="1" fontId="6" fillId="0" borderId="1" xfId="0" applyNumberFormat="1" applyFont="1" applyFill="1" applyBorder="1"/>
    <xf numFmtId="0" fontId="7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/>
    <xf numFmtId="0" fontId="13" fillId="0" borderId="1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/>
    <xf numFmtId="1" fontId="7" fillId="0" borderId="1" xfId="0" applyNumberFormat="1" applyFont="1" applyFill="1" applyBorder="1"/>
    <xf numFmtId="0" fontId="18" fillId="0" borderId="1" xfId="0" applyFont="1" applyFill="1" applyBorder="1" applyAlignment="1" applyProtection="1">
      <alignment horizontal="left"/>
      <protection locked="0"/>
    </xf>
    <xf numFmtId="0" fontId="12" fillId="0" borderId="1" xfId="0" applyFont="1" applyFill="1" applyBorder="1" applyAlignment="1">
      <alignment horizontal="left"/>
    </xf>
    <xf numFmtId="0" fontId="13" fillId="0" borderId="1" xfId="0" applyFont="1" applyFill="1" applyBorder="1"/>
    <xf numFmtId="0" fontId="13" fillId="0" borderId="1" xfId="0" applyFont="1" applyFill="1" applyBorder="1" applyAlignment="1" applyProtection="1">
      <alignment horizontal="left" indent="1"/>
      <protection locked="0"/>
    </xf>
    <xf numFmtId="0" fontId="20" fillId="0" borderId="1" xfId="0" applyFont="1" applyFill="1" applyBorder="1"/>
    <xf numFmtId="1" fontId="20" fillId="0" borderId="1" xfId="0" applyNumberFormat="1" applyFont="1" applyFill="1" applyBorder="1"/>
    <xf numFmtId="1" fontId="17" fillId="0" borderId="1" xfId="0" applyNumberFormat="1" applyFont="1" applyFill="1" applyBorder="1"/>
    <xf numFmtId="1" fontId="20" fillId="2" borderId="1" xfId="0" applyNumberFormat="1" applyFont="1" applyFill="1" applyBorder="1"/>
    <xf numFmtId="1" fontId="21" fillId="2" borderId="1" xfId="0" applyNumberFormat="1" applyFont="1" applyFill="1" applyBorder="1"/>
    <xf numFmtId="1" fontId="14" fillId="0" borderId="1" xfId="0" applyNumberFormat="1" applyFont="1" applyFill="1" applyBorder="1"/>
    <xf numFmtId="1" fontId="7" fillId="0" borderId="1" xfId="1" applyNumberFormat="1" applyFont="1" applyFill="1" applyBorder="1"/>
    <xf numFmtId="0" fontId="9" fillId="0" borderId="0" xfId="0" applyFont="1" applyFill="1"/>
    <xf numFmtId="0" fontId="10" fillId="0" borderId="1" xfId="0" applyFont="1" applyFill="1" applyBorder="1" applyAlignment="1">
      <alignment horizontal="left"/>
    </xf>
    <xf numFmtId="0" fontId="22" fillId="0" borderId="0" xfId="0" applyFont="1" applyFill="1"/>
    <xf numFmtId="0" fontId="22" fillId="0" borderId="1" xfId="0" applyFont="1" applyFill="1" applyBorder="1" applyAlignment="1">
      <alignment horizontal="left"/>
    </xf>
    <xf numFmtId="0" fontId="20" fillId="0" borderId="1" xfId="0" applyFont="1" applyFill="1" applyBorder="1" applyAlignment="1" applyProtection="1">
      <alignment horizontal="left"/>
      <protection locked="0"/>
    </xf>
    <xf numFmtId="0" fontId="20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5" fontId="20" fillId="0" borderId="1" xfId="1" applyNumberFormat="1" applyFont="1" applyFill="1" applyBorder="1"/>
    <xf numFmtId="165" fontId="20" fillId="2" borderId="1" xfId="1" applyNumberFormat="1" applyFont="1" applyFill="1" applyBorder="1"/>
    <xf numFmtId="0" fontId="11" fillId="0" borderId="1" xfId="0" applyFont="1" applyFill="1" applyBorder="1" applyAlignment="1" applyProtection="1">
      <alignment horizontal="left" indent="1"/>
      <protection locked="0"/>
    </xf>
    <xf numFmtId="0" fontId="20" fillId="0" borderId="1" xfId="0" applyFont="1" applyFill="1" applyBorder="1" applyAlignment="1">
      <alignment vertical="center" wrapText="1"/>
    </xf>
    <xf numFmtId="1" fontId="22" fillId="2" borderId="1" xfId="0" applyNumberFormat="1" applyFont="1" applyFill="1" applyBorder="1"/>
    <xf numFmtId="0" fontId="24" fillId="0" borderId="1" xfId="0" applyFont="1" applyFill="1" applyBorder="1" applyAlignment="1" applyProtection="1">
      <alignment horizontal="left"/>
      <protection locked="0"/>
    </xf>
    <xf numFmtId="1" fontId="25" fillId="0" borderId="1" xfId="0" applyNumberFormat="1" applyFont="1" applyFill="1" applyBorder="1"/>
    <xf numFmtId="0" fontId="24" fillId="0" borderId="1" xfId="0" applyFont="1" applyFill="1" applyBorder="1"/>
    <xf numFmtId="0" fontId="24" fillId="0" borderId="1" xfId="0" applyFont="1" applyFill="1" applyBorder="1" applyAlignment="1" applyProtection="1">
      <alignment horizontal="left" indent="1"/>
      <protection locked="0"/>
    </xf>
    <xf numFmtId="0" fontId="26" fillId="0" borderId="0" xfId="0" applyFont="1"/>
    <xf numFmtId="1" fontId="19" fillId="2" borderId="1" xfId="0" applyNumberFormat="1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%20Buxheti%202019-2021/Plan%20buxheti%202019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%20buxheti%202020-2022/Plan%20buxheti%202020-2022%20e%20gradim%20te%20ri%20q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- "/>
      <sheetName val="Sheet1"/>
      <sheetName val="2020,,"/>
      <sheetName val="2021"/>
      <sheetName val="Tabela e buxhetit sipas viteve "/>
      <sheetName val="Sheet2"/>
    </sheetNames>
    <sheetDataSet>
      <sheetData sheetId="0"/>
      <sheetData sheetId="1"/>
      <sheetData sheetId="2"/>
      <sheetData sheetId="3"/>
      <sheetData sheetId="4">
        <row r="4">
          <cell r="A4" t="str">
            <v>Buxheti sipas viteve</v>
          </cell>
        </row>
        <row r="5">
          <cell r="A5" t="str">
            <v>Viti 2022</v>
          </cell>
        </row>
        <row r="6">
          <cell r="A6" t="str">
            <v>Viti 2023</v>
          </cell>
        </row>
        <row r="7">
          <cell r="A7" t="str">
            <v>Viti 2024</v>
          </cell>
        </row>
        <row r="8">
          <cell r="A8" t="str">
            <v>Viti 2025</v>
          </cell>
        </row>
        <row r="9">
          <cell r="A9" t="str">
            <v>Viti 2026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- "/>
      <sheetName val="Sheet1"/>
      <sheetName val="2020,,"/>
      <sheetName val="2021"/>
      <sheetName val="2022"/>
      <sheetName val="Tabela e buxhetit sipas viteve 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Buxheti sipas viteve</v>
          </cell>
        </row>
        <row r="5">
          <cell r="A5" t="str">
            <v>Viti 2022</v>
          </cell>
          <cell r="D5">
            <v>13069495</v>
          </cell>
        </row>
        <row r="6">
          <cell r="A6" t="str">
            <v>Viti 2023</v>
          </cell>
          <cell r="D6">
            <v>14996357</v>
          </cell>
        </row>
        <row r="7">
          <cell r="A7" t="str">
            <v>Viti 2024</v>
          </cell>
          <cell r="D7">
            <v>16653191</v>
          </cell>
        </row>
        <row r="8">
          <cell r="A8" t="str">
            <v>Viti 2025</v>
          </cell>
          <cell r="D8">
            <v>17514840</v>
          </cell>
        </row>
        <row r="9">
          <cell r="A9" t="str">
            <v>Viti 2026</v>
          </cell>
          <cell r="D9">
            <v>18370155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81"/>
  <sheetViews>
    <sheetView topLeftCell="A70" zoomScale="148" zoomScaleNormal="148" workbookViewId="0">
      <selection activeCell="J1" sqref="J1:Q1048576"/>
    </sheetView>
  </sheetViews>
  <sheetFormatPr defaultRowHeight="15" x14ac:dyDescent="0.25"/>
  <cols>
    <col min="1" max="1" width="3.28515625" customWidth="1"/>
    <col min="2" max="2" width="14.5703125" customWidth="1"/>
    <col min="4" max="4" width="12.42578125" customWidth="1"/>
    <col min="5" max="5" width="10.5703125" customWidth="1"/>
    <col min="8" max="8" width="10.5703125" customWidth="1"/>
    <col min="9" max="9" width="11.7109375" customWidth="1"/>
  </cols>
  <sheetData>
    <row r="1" spans="1:9" x14ac:dyDescent="0.25">
      <c r="A1" s="47" t="s">
        <v>44</v>
      </c>
      <c r="B1" s="49" t="s">
        <v>54</v>
      </c>
      <c r="C1" s="47"/>
      <c r="D1" s="47"/>
      <c r="E1" s="47"/>
      <c r="F1" s="47"/>
      <c r="G1" s="49"/>
      <c r="H1" s="49"/>
      <c r="I1" s="47"/>
    </row>
    <row r="2" spans="1:9" ht="33.75" x14ac:dyDescent="0.25">
      <c r="A2" s="50" t="s">
        <v>0</v>
      </c>
      <c r="B2" s="51" t="s">
        <v>1</v>
      </c>
      <c r="C2" s="52" t="s">
        <v>2</v>
      </c>
      <c r="D2" s="52" t="s">
        <v>53</v>
      </c>
      <c r="E2" s="52" t="s">
        <v>3</v>
      </c>
      <c r="F2" s="52" t="s">
        <v>4</v>
      </c>
      <c r="G2" s="52" t="s">
        <v>5</v>
      </c>
      <c r="H2" s="52" t="s">
        <v>6</v>
      </c>
      <c r="I2" s="52" t="s">
        <v>7</v>
      </c>
    </row>
    <row r="3" spans="1:9" x14ac:dyDescent="0.25">
      <c r="A3" s="53" t="s">
        <v>8</v>
      </c>
      <c r="B3" s="54" t="s">
        <v>9</v>
      </c>
      <c r="C3" s="54" t="s">
        <v>10</v>
      </c>
      <c r="D3" s="54" t="s">
        <v>11</v>
      </c>
      <c r="E3" s="54" t="s">
        <v>12</v>
      </c>
      <c r="F3" s="54" t="s">
        <v>13</v>
      </c>
      <c r="G3" s="54" t="s">
        <v>14</v>
      </c>
      <c r="H3" s="54" t="s">
        <v>15</v>
      </c>
      <c r="I3" s="54" t="s">
        <v>16</v>
      </c>
    </row>
    <row r="4" spans="1:9" x14ac:dyDescent="0.25">
      <c r="A4" s="25">
        <v>1</v>
      </c>
      <c r="B4" s="51" t="s">
        <v>17</v>
      </c>
      <c r="C4" s="23">
        <f>C5+C6</f>
        <v>1181</v>
      </c>
      <c r="D4" s="24">
        <f>D5+D6</f>
        <v>10430916</v>
      </c>
      <c r="E4" s="6">
        <f t="shared" ref="E4" si="0">E5+E6</f>
        <v>3236377</v>
      </c>
      <c r="F4" s="56">
        <f t="shared" ref="F4:I4" si="1">F5+F6</f>
        <v>313500</v>
      </c>
      <c r="G4" s="56">
        <f t="shared" si="1"/>
        <v>756000</v>
      </c>
      <c r="H4" s="56">
        <f t="shared" si="1"/>
        <v>4096783</v>
      </c>
      <c r="I4" s="55">
        <f t="shared" si="1"/>
        <v>18833576</v>
      </c>
    </row>
    <row r="5" spans="1:9" x14ac:dyDescent="0.25">
      <c r="A5" s="25"/>
      <c r="B5" s="57" t="s">
        <v>18</v>
      </c>
      <c r="C5" s="26">
        <f>C8+C11+C14+C23+C26+C29+C38+C41+C44+C47+C50+C59+C62+C65</f>
        <v>1181</v>
      </c>
      <c r="D5" s="27">
        <f>D8+D11+D59+D14+D23+D26+D29+D38+D41+D44+D47+D50+D62+D65</f>
        <v>10430916</v>
      </c>
      <c r="E5" s="7">
        <f t="shared" ref="E5" si="2">E8+E11+E59+E14+E23+E26+E29+E38+E41+E44+E47+E50+E62+E65</f>
        <v>2907040</v>
      </c>
      <c r="F5" s="7">
        <f t="shared" ref="F5:H5" si="3">F8+F11+F59+F14+F23+F26+F29+F38+F41+F44+F47+F50+F62+F65</f>
        <v>313500</v>
      </c>
      <c r="G5" s="7">
        <f t="shared" si="3"/>
        <v>536000</v>
      </c>
      <c r="H5" s="7">
        <f t="shared" si="3"/>
        <v>3277904</v>
      </c>
      <c r="I5" s="27">
        <f>D5+E5+F5+G5+H5</f>
        <v>17465360</v>
      </c>
    </row>
    <row r="6" spans="1:9" x14ac:dyDescent="0.25">
      <c r="A6" s="25"/>
      <c r="B6" s="57" t="s">
        <v>19</v>
      </c>
      <c r="C6" s="26">
        <f>C9+C12+C15</f>
        <v>0</v>
      </c>
      <c r="D6" s="26">
        <f>D9+D12+D15+D24+D27+D30+D39+D42+D45+D48+D51+D63+D66+D60</f>
        <v>0</v>
      </c>
      <c r="E6" s="2">
        <f t="shared" ref="E6" si="4">E9+E12+E15+E24+E27+E30+E39+E42+E45+E48+E51+E63+E66+E60</f>
        <v>329337</v>
      </c>
      <c r="F6" s="2">
        <f t="shared" ref="F6:H6" si="5">F9+F12+F15+F24+F27+F30+F39+F42+F45+F48+F51+F63+F66+F60</f>
        <v>0</v>
      </c>
      <c r="G6" s="2">
        <f t="shared" si="5"/>
        <v>220000</v>
      </c>
      <c r="H6" s="2">
        <f t="shared" si="5"/>
        <v>818879</v>
      </c>
      <c r="I6" s="27">
        <f>D6+E6+F6+G6+H6</f>
        <v>1368216</v>
      </c>
    </row>
    <row r="7" spans="1:9" x14ac:dyDescent="0.25">
      <c r="A7" s="48">
        <v>1</v>
      </c>
      <c r="B7" s="51" t="s">
        <v>20</v>
      </c>
      <c r="C7" s="29">
        <f>C8</f>
        <v>37</v>
      </c>
      <c r="D7" s="30">
        <f>D9+D8</f>
        <v>426000</v>
      </c>
      <c r="E7" s="10">
        <f t="shared" ref="E7" si="6">SUM(E8:E9)</f>
        <v>145000</v>
      </c>
      <c r="F7" s="43">
        <f t="shared" ref="F7" si="7">SUM(F8:F9)</f>
        <v>0</v>
      </c>
      <c r="G7" s="43">
        <f t="shared" ref="G7:I7" si="8">SUM(G8:G9)</f>
        <v>176000</v>
      </c>
      <c r="H7" s="43">
        <f t="shared" si="8"/>
        <v>0</v>
      </c>
      <c r="I7" s="41">
        <f t="shared" si="8"/>
        <v>747000</v>
      </c>
    </row>
    <row r="8" spans="1:9" x14ac:dyDescent="0.25">
      <c r="A8" s="25"/>
      <c r="B8" s="57" t="s">
        <v>18</v>
      </c>
      <c r="C8" s="3">
        <v>37</v>
      </c>
      <c r="D8" s="27">
        <f>438000-12000</f>
        <v>426000</v>
      </c>
      <c r="E8" s="7">
        <v>105000</v>
      </c>
      <c r="F8" s="7"/>
      <c r="G8" s="9">
        <v>126000</v>
      </c>
      <c r="H8" s="7"/>
      <c r="I8" s="32">
        <f>SUM(D8:H8)</f>
        <v>657000</v>
      </c>
    </row>
    <row r="9" spans="1:9" x14ac:dyDescent="0.25">
      <c r="A9" s="25"/>
      <c r="B9" s="57" t="s">
        <v>19</v>
      </c>
      <c r="C9" s="26"/>
      <c r="D9" s="27">
        <v>0</v>
      </c>
      <c r="E9" s="7">
        <v>40000</v>
      </c>
      <c r="F9" s="7"/>
      <c r="G9" s="9">
        <v>50000</v>
      </c>
      <c r="H9" s="7"/>
      <c r="I9" s="32">
        <f>SUM(D9:H9)</f>
        <v>90000</v>
      </c>
    </row>
    <row r="10" spans="1:9" ht="21.75" customHeight="1" x14ac:dyDescent="0.25">
      <c r="A10" s="48">
        <v>2</v>
      </c>
      <c r="B10" s="58" t="s">
        <v>21</v>
      </c>
      <c r="C10" s="29">
        <f>C12+C11</f>
        <v>27</v>
      </c>
      <c r="D10" s="30">
        <v>224979</v>
      </c>
      <c r="E10" s="11">
        <f t="shared" ref="E10" si="9">SUM(E11:E12)</f>
        <v>17000</v>
      </c>
      <c r="F10" s="59">
        <f t="shared" ref="F10:H10" si="10">SUM(F11:F12)</f>
        <v>0</v>
      </c>
      <c r="G10" s="59">
        <f t="shared" si="10"/>
        <v>0</v>
      </c>
      <c r="H10" s="59">
        <f t="shared" si="10"/>
        <v>0</v>
      </c>
      <c r="I10" s="41">
        <f>SUM(D10:H10)</f>
        <v>241979</v>
      </c>
    </row>
    <row r="11" spans="1:9" x14ac:dyDescent="0.25">
      <c r="A11" s="25"/>
      <c r="B11" s="57" t="s">
        <v>18</v>
      </c>
      <c r="C11" s="26">
        <v>27</v>
      </c>
      <c r="D11" s="27">
        <v>224979</v>
      </c>
      <c r="E11" s="8">
        <f>15000</f>
        <v>15000</v>
      </c>
      <c r="F11" s="8"/>
      <c r="G11" s="8"/>
      <c r="H11" s="8"/>
      <c r="I11" s="27">
        <f>SUM(D11:H11)</f>
        <v>239979</v>
      </c>
    </row>
    <row r="12" spans="1:9" x14ac:dyDescent="0.25">
      <c r="A12" s="25"/>
      <c r="B12" s="57" t="s">
        <v>19</v>
      </c>
      <c r="C12" s="26"/>
      <c r="D12" s="27"/>
      <c r="E12" s="8">
        <v>2000</v>
      </c>
      <c r="F12" s="8"/>
      <c r="G12" s="8"/>
      <c r="H12" s="8"/>
      <c r="I12" s="27">
        <f>SUM(D12:H12)</f>
        <v>2000</v>
      </c>
    </row>
    <row r="13" spans="1:9" ht="22.5" customHeight="1" x14ac:dyDescent="0.25">
      <c r="A13" s="48">
        <v>3</v>
      </c>
      <c r="B13" s="58" t="s">
        <v>29</v>
      </c>
      <c r="C13" s="29">
        <f>C14+C15</f>
        <v>33</v>
      </c>
      <c r="D13" s="30">
        <f t="shared" ref="D13:E13" si="11">D14+D15</f>
        <v>245200</v>
      </c>
      <c r="E13" s="11">
        <f t="shared" si="11"/>
        <v>95000</v>
      </c>
      <c r="F13" s="59">
        <f t="shared" ref="F13:I13" si="12">F14+F15</f>
        <v>0</v>
      </c>
      <c r="G13" s="59">
        <f t="shared" si="12"/>
        <v>0</v>
      </c>
      <c r="H13" s="59">
        <f t="shared" si="12"/>
        <v>0</v>
      </c>
      <c r="I13" s="41">
        <f t="shared" si="12"/>
        <v>340200</v>
      </c>
    </row>
    <row r="14" spans="1:9" x14ac:dyDescent="0.25">
      <c r="A14" s="25"/>
      <c r="B14" s="57" t="s">
        <v>18</v>
      </c>
      <c r="C14" s="26">
        <f>C17+C20</f>
        <v>33</v>
      </c>
      <c r="D14" s="27">
        <f>D17+D20</f>
        <v>245200</v>
      </c>
      <c r="E14" s="8">
        <f>E17+E20</f>
        <v>91000</v>
      </c>
      <c r="F14" s="8">
        <f t="shared" ref="F14:F15" si="13">F17+F20</f>
        <v>0</v>
      </c>
      <c r="G14" s="9"/>
      <c r="H14" s="8">
        <f t="shared" ref="G14:I15" si="14">H17+H20</f>
        <v>0</v>
      </c>
      <c r="I14" s="27">
        <f t="shared" si="14"/>
        <v>336200</v>
      </c>
    </row>
    <row r="15" spans="1:9" x14ac:dyDescent="0.25">
      <c r="A15" s="25"/>
      <c r="B15" s="57" t="s">
        <v>19</v>
      </c>
      <c r="C15" s="26">
        <f>C18+C21</f>
        <v>0</v>
      </c>
      <c r="D15" s="27">
        <f t="shared" ref="D15" si="15">D18+D21</f>
        <v>0</v>
      </c>
      <c r="E15" s="8">
        <f>E18+E21</f>
        <v>4000</v>
      </c>
      <c r="F15" s="8">
        <f t="shared" si="13"/>
        <v>0</v>
      </c>
      <c r="G15" s="8">
        <f t="shared" si="14"/>
        <v>0</v>
      </c>
      <c r="H15" s="8">
        <f t="shared" si="14"/>
        <v>0</v>
      </c>
      <c r="I15" s="27">
        <f t="shared" si="14"/>
        <v>4000</v>
      </c>
    </row>
    <row r="16" spans="1:9" x14ac:dyDescent="0.25">
      <c r="A16" s="25">
        <v>3.1</v>
      </c>
      <c r="B16" s="60" t="s">
        <v>22</v>
      </c>
      <c r="C16" s="5">
        <f>C17</f>
        <v>31</v>
      </c>
      <c r="D16" s="35">
        <f>SUM(D17:D18)</f>
        <v>228800</v>
      </c>
      <c r="E16" s="12">
        <f t="shared" ref="E16" si="16">SUM(E17:E18)</f>
        <v>81000</v>
      </c>
      <c r="F16" s="59">
        <f t="shared" ref="F16:I16" si="17">SUM(F17:F18)</f>
        <v>0</v>
      </c>
      <c r="G16" s="59">
        <f t="shared" si="17"/>
        <v>0</v>
      </c>
      <c r="H16" s="59">
        <f t="shared" si="17"/>
        <v>0</v>
      </c>
      <c r="I16" s="41">
        <f t="shared" si="17"/>
        <v>309800</v>
      </c>
    </row>
    <row r="17" spans="1:9" x14ac:dyDescent="0.25">
      <c r="A17" s="25"/>
      <c r="B17" s="57" t="s">
        <v>18</v>
      </c>
      <c r="C17" s="26">
        <v>31</v>
      </c>
      <c r="D17" s="27">
        <v>228800</v>
      </c>
      <c r="E17" s="8">
        <v>77000</v>
      </c>
      <c r="F17" s="8"/>
      <c r="G17" s="8"/>
      <c r="H17" s="8"/>
      <c r="I17" s="27">
        <f>SUM(D17:H17)</f>
        <v>305800</v>
      </c>
    </row>
    <row r="18" spans="1:9" x14ac:dyDescent="0.25">
      <c r="A18" s="25"/>
      <c r="B18" s="57" t="s">
        <v>19</v>
      </c>
      <c r="C18" s="26"/>
      <c r="D18" s="27"/>
      <c r="E18" s="8">
        <v>4000</v>
      </c>
      <c r="F18" s="8"/>
      <c r="G18" s="8"/>
      <c r="H18" s="8"/>
      <c r="I18" s="27">
        <f>SUM(D18:H18)</f>
        <v>4000</v>
      </c>
    </row>
    <row r="19" spans="1:9" x14ac:dyDescent="0.25">
      <c r="A19" s="25">
        <v>3.2</v>
      </c>
      <c r="B19" s="60" t="s">
        <v>23</v>
      </c>
      <c r="C19" s="34">
        <f>C20</f>
        <v>2</v>
      </c>
      <c r="D19" s="35">
        <f>SUM(D20:D21)</f>
        <v>16400</v>
      </c>
      <c r="E19" s="12">
        <f t="shared" ref="E19" si="18">SUM(E20:E21)</f>
        <v>14000</v>
      </c>
      <c r="F19" s="59">
        <f t="shared" ref="F19:I19" si="19">SUM(F20:F21)</f>
        <v>0</v>
      </c>
      <c r="G19" s="59">
        <f t="shared" si="19"/>
        <v>0</v>
      </c>
      <c r="H19" s="59">
        <f t="shared" si="19"/>
        <v>0</v>
      </c>
      <c r="I19" s="41">
        <f t="shared" si="19"/>
        <v>30400</v>
      </c>
    </row>
    <row r="20" spans="1:9" x14ac:dyDescent="0.25">
      <c r="A20" s="25"/>
      <c r="B20" s="57" t="s">
        <v>18</v>
      </c>
      <c r="C20" s="26">
        <v>2</v>
      </c>
      <c r="D20" s="27">
        <v>16400</v>
      </c>
      <c r="E20" s="8">
        <v>14000</v>
      </c>
      <c r="F20" s="8"/>
      <c r="G20" s="8"/>
      <c r="H20" s="8"/>
      <c r="I20" s="27">
        <f>SUM(D20:H20)</f>
        <v>30400</v>
      </c>
    </row>
    <row r="21" spans="1:9" x14ac:dyDescent="0.25">
      <c r="A21" s="25"/>
      <c r="B21" s="57" t="s">
        <v>19</v>
      </c>
      <c r="C21" s="26"/>
      <c r="D21" s="27"/>
      <c r="E21" s="8"/>
      <c r="F21" s="8"/>
      <c r="G21" s="8"/>
      <c r="H21" s="8"/>
      <c r="I21" s="27">
        <f>SUM(D21:H21)</f>
        <v>0</v>
      </c>
    </row>
    <row r="22" spans="1:9" x14ac:dyDescent="0.25">
      <c r="A22" s="48">
        <v>4</v>
      </c>
      <c r="B22" s="58" t="s">
        <v>24</v>
      </c>
      <c r="C22" s="29">
        <f>C23</f>
        <v>8</v>
      </c>
      <c r="D22" s="30">
        <f>SUM(D23:D24)</f>
        <v>79000</v>
      </c>
      <c r="E22" s="11">
        <f t="shared" ref="E22" si="20">SUM(E23:E24)</f>
        <v>100000</v>
      </c>
      <c r="F22" s="59">
        <f t="shared" ref="F22:I22" si="21">SUM(F23:F24)</f>
        <v>0</v>
      </c>
      <c r="G22" s="59">
        <f t="shared" si="21"/>
        <v>0</v>
      </c>
      <c r="H22" s="59">
        <f t="shared" si="21"/>
        <v>0</v>
      </c>
      <c r="I22" s="41">
        <f t="shared" si="21"/>
        <v>179000</v>
      </c>
    </row>
    <row r="23" spans="1:9" x14ac:dyDescent="0.25">
      <c r="A23" s="25"/>
      <c r="B23" s="57" t="s">
        <v>18</v>
      </c>
      <c r="C23" s="26">
        <v>8</v>
      </c>
      <c r="D23" s="27">
        <v>79000</v>
      </c>
      <c r="E23" s="9">
        <v>100000</v>
      </c>
      <c r="F23" s="8"/>
      <c r="G23" s="8"/>
      <c r="H23" s="8"/>
      <c r="I23" s="41">
        <f>SUM(D23:H23)</f>
        <v>179000</v>
      </c>
    </row>
    <row r="24" spans="1:9" x14ac:dyDescent="0.25">
      <c r="A24" s="25"/>
      <c r="B24" s="57" t="s">
        <v>19</v>
      </c>
      <c r="C24" s="26"/>
      <c r="D24" s="27"/>
      <c r="E24" s="8"/>
      <c r="F24" s="8"/>
      <c r="G24" s="8"/>
      <c r="H24" s="8"/>
      <c r="I24" s="41">
        <f>SUM(D24:H24)</f>
        <v>0</v>
      </c>
    </row>
    <row r="25" spans="1:9" x14ac:dyDescent="0.25">
      <c r="A25" s="25">
        <v>5</v>
      </c>
      <c r="B25" s="51" t="s">
        <v>46</v>
      </c>
      <c r="C25" s="29">
        <f>C26</f>
        <v>25</v>
      </c>
      <c r="D25" s="30">
        <f>SUM(D26:D27)</f>
        <v>221111</v>
      </c>
      <c r="E25" s="11">
        <f>SUM(E26:E27)</f>
        <v>100000</v>
      </c>
      <c r="F25" s="59">
        <f t="shared" ref="F25:I25" si="22">SUM(F26:F27)</f>
        <v>0</v>
      </c>
      <c r="G25" s="59">
        <f t="shared" si="22"/>
        <v>0</v>
      </c>
      <c r="H25" s="59">
        <f t="shared" si="22"/>
        <v>3941783</v>
      </c>
      <c r="I25" s="41">
        <f t="shared" si="22"/>
        <v>4262894</v>
      </c>
    </row>
    <row r="26" spans="1:9" x14ac:dyDescent="0.25">
      <c r="A26" s="25"/>
      <c r="B26" s="57" t="s">
        <v>18</v>
      </c>
      <c r="C26" s="3">
        <v>25</v>
      </c>
      <c r="D26" s="27">
        <f>228111-7000</f>
        <v>221111</v>
      </c>
      <c r="E26" s="9">
        <v>90000</v>
      </c>
      <c r="F26" s="8"/>
      <c r="G26" s="8"/>
      <c r="H26" s="9">
        <v>3182904</v>
      </c>
      <c r="I26" s="61">
        <f>SUM(D26:H26)</f>
        <v>3494015</v>
      </c>
    </row>
    <row r="27" spans="1:9" x14ac:dyDescent="0.25">
      <c r="A27" s="25"/>
      <c r="B27" s="57" t="s">
        <v>19</v>
      </c>
      <c r="C27" s="26"/>
      <c r="D27" s="27"/>
      <c r="E27" s="8">
        <v>10000</v>
      </c>
      <c r="F27" s="8"/>
      <c r="G27" s="8"/>
      <c r="H27" s="9">
        <f>510483+2544+6592+1169-6169-12428-48000-16296+296-87349+114618+54951+136386+24239+97843-20000</f>
        <v>758879</v>
      </c>
      <c r="I27" s="61">
        <f>SUM(D27:H27)</f>
        <v>768879</v>
      </c>
    </row>
    <row r="28" spans="1:9" ht="33.75" x14ac:dyDescent="0.25">
      <c r="A28" s="48">
        <v>6</v>
      </c>
      <c r="B28" s="58" t="s">
        <v>25</v>
      </c>
      <c r="C28" s="29">
        <f>C29+C30</f>
        <v>34</v>
      </c>
      <c r="D28" s="30">
        <f>D29+D30</f>
        <v>313005</v>
      </c>
      <c r="E28" s="11">
        <f t="shared" ref="E28" si="23">E29+E30</f>
        <v>1199377</v>
      </c>
      <c r="F28" s="59">
        <f t="shared" ref="F28:I28" si="24">F29+F30</f>
        <v>193500</v>
      </c>
      <c r="G28" s="59">
        <f t="shared" si="24"/>
        <v>0</v>
      </c>
      <c r="H28" s="59">
        <f t="shared" si="24"/>
        <v>0</v>
      </c>
      <c r="I28" s="41">
        <f t="shared" si="24"/>
        <v>1705882</v>
      </c>
    </row>
    <row r="29" spans="1:9" x14ac:dyDescent="0.25">
      <c r="A29" s="25"/>
      <c r="B29" s="57" t="s">
        <v>18</v>
      </c>
      <c r="C29" s="26">
        <f>C32+C35</f>
        <v>34</v>
      </c>
      <c r="D29" s="27">
        <f t="shared" ref="D29" si="25">D32+D35</f>
        <v>313005</v>
      </c>
      <c r="E29" s="8">
        <f>E32+E35</f>
        <v>1096040</v>
      </c>
      <c r="F29" s="8">
        <f>F32+F35</f>
        <v>193500</v>
      </c>
      <c r="G29" s="8">
        <f t="shared" ref="G29:H30" si="26">G32+G35</f>
        <v>0</v>
      </c>
      <c r="H29" s="8">
        <f t="shared" si="26"/>
        <v>0</v>
      </c>
      <c r="I29" s="27">
        <f t="shared" ref="F29:I30" si="27">I32+I35</f>
        <v>1602545</v>
      </c>
    </row>
    <row r="30" spans="1:9" x14ac:dyDescent="0.25">
      <c r="A30" s="25"/>
      <c r="B30" s="57" t="s">
        <v>19</v>
      </c>
      <c r="C30" s="26"/>
      <c r="D30" s="27">
        <f>D33+D36</f>
        <v>0</v>
      </c>
      <c r="E30" s="8">
        <f>E33+E36</f>
        <v>103337</v>
      </c>
      <c r="F30" s="8">
        <f t="shared" si="27"/>
        <v>0</v>
      </c>
      <c r="G30" s="8">
        <f t="shared" si="26"/>
        <v>0</v>
      </c>
      <c r="H30" s="8">
        <f t="shared" si="26"/>
        <v>0</v>
      </c>
      <c r="I30" s="27">
        <f t="shared" si="27"/>
        <v>103337</v>
      </c>
    </row>
    <row r="31" spans="1:9" x14ac:dyDescent="0.25">
      <c r="A31" s="25" t="s">
        <v>36</v>
      </c>
      <c r="B31" s="60" t="s">
        <v>26</v>
      </c>
      <c r="C31" s="34">
        <f>C32+C33</f>
        <v>7</v>
      </c>
      <c r="D31" s="35">
        <f>SUM(D32:D33)</f>
        <v>65000</v>
      </c>
      <c r="E31" s="12">
        <f t="shared" ref="E31" si="28">SUM(E32:E33)</f>
        <v>1179377</v>
      </c>
      <c r="F31" s="59">
        <f t="shared" ref="F31:I31" si="29">SUM(F32:F33)</f>
        <v>188500</v>
      </c>
      <c r="G31" s="59">
        <f t="shared" si="29"/>
        <v>0</v>
      </c>
      <c r="H31" s="59">
        <f t="shared" si="29"/>
        <v>0</v>
      </c>
      <c r="I31" s="41">
        <f t="shared" si="29"/>
        <v>1432877</v>
      </c>
    </row>
    <row r="32" spans="1:9" x14ac:dyDescent="0.25">
      <c r="A32" s="25"/>
      <c r="B32" s="57" t="s">
        <v>18</v>
      </c>
      <c r="C32" s="3">
        <v>7</v>
      </c>
      <c r="D32" s="27">
        <f>70000-5000</f>
        <v>65000</v>
      </c>
      <c r="E32" s="9">
        <f>890000-34000+220040</f>
        <v>1076040</v>
      </c>
      <c r="F32" s="8">
        <f>175000+13500</f>
        <v>188500</v>
      </c>
      <c r="G32" s="8"/>
      <c r="H32" s="8"/>
      <c r="I32" s="41">
        <f>SUM(D32:H32)</f>
        <v>1329540</v>
      </c>
    </row>
    <row r="33" spans="1:9" x14ac:dyDescent="0.25">
      <c r="A33" s="25"/>
      <c r="B33" s="57" t="s">
        <v>19</v>
      </c>
      <c r="C33" s="26"/>
      <c r="D33" s="27"/>
      <c r="E33" s="8">
        <v>103337</v>
      </c>
      <c r="F33" s="8"/>
      <c r="G33" s="8"/>
      <c r="H33" s="8"/>
      <c r="I33" s="41">
        <f>SUM(D33:H33)</f>
        <v>103337</v>
      </c>
    </row>
    <row r="34" spans="1:9" x14ac:dyDescent="0.25">
      <c r="A34" s="25" t="s">
        <v>37</v>
      </c>
      <c r="B34" s="60" t="s">
        <v>27</v>
      </c>
      <c r="C34" s="34">
        <f>C35+C36</f>
        <v>27</v>
      </c>
      <c r="D34" s="35">
        <f>SUM(D35:D36)</f>
        <v>248005</v>
      </c>
      <c r="E34" s="12">
        <f t="shared" ref="E34" si="30">SUM(E35:E36)</f>
        <v>20000</v>
      </c>
      <c r="F34" s="59">
        <f t="shared" ref="F34:I34" si="31">SUM(F35:F36)</f>
        <v>5000</v>
      </c>
      <c r="G34" s="59">
        <f t="shared" si="31"/>
        <v>0</v>
      </c>
      <c r="H34" s="59">
        <f t="shared" si="31"/>
        <v>0</v>
      </c>
      <c r="I34" s="41">
        <f t="shared" si="31"/>
        <v>273005</v>
      </c>
    </row>
    <row r="35" spans="1:9" x14ac:dyDescent="0.25">
      <c r="A35" s="25"/>
      <c r="B35" s="57" t="s">
        <v>18</v>
      </c>
      <c r="C35" s="26">
        <v>27</v>
      </c>
      <c r="D35" s="7">
        <f>218005+30000</f>
        <v>248005</v>
      </c>
      <c r="E35" s="8">
        <v>20000</v>
      </c>
      <c r="F35" s="8">
        <v>5000</v>
      </c>
      <c r="G35" s="8"/>
      <c r="H35" s="8"/>
      <c r="I35" s="41">
        <f>SUM(D35:H35)</f>
        <v>273005</v>
      </c>
    </row>
    <row r="36" spans="1:9" x14ac:dyDescent="0.25">
      <c r="A36" s="25"/>
      <c r="B36" s="57" t="s">
        <v>19</v>
      </c>
      <c r="C36" s="26"/>
      <c r="D36" s="27"/>
      <c r="E36" s="8"/>
      <c r="F36" s="8"/>
      <c r="G36" s="8"/>
      <c r="H36" s="8"/>
      <c r="I36" s="41">
        <f>SUM(D36:H36)</f>
        <v>0</v>
      </c>
    </row>
    <row r="37" spans="1:9" x14ac:dyDescent="0.25">
      <c r="A37" s="25">
        <v>7</v>
      </c>
      <c r="B37" s="58" t="s">
        <v>43</v>
      </c>
      <c r="C37" s="29">
        <f>C38</f>
        <v>3</v>
      </c>
      <c r="D37" s="30">
        <f>SUM(D38:D39)</f>
        <v>30000</v>
      </c>
      <c r="E37" s="11">
        <f t="shared" ref="E37" si="32">SUM(E38:E39)</f>
        <v>1000</v>
      </c>
      <c r="F37" s="59">
        <f t="shared" ref="F37:I37" si="33">SUM(F38:F39)</f>
        <v>0</v>
      </c>
      <c r="G37" s="59">
        <f t="shared" si="33"/>
        <v>0</v>
      </c>
      <c r="H37" s="59">
        <f t="shared" si="33"/>
        <v>0</v>
      </c>
      <c r="I37" s="41">
        <f t="shared" si="33"/>
        <v>31000</v>
      </c>
    </row>
    <row r="38" spans="1:9" x14ac:dyDescent="0.25">
      <c r="A38" s="25"/>
      <c r="B38" s="57" t="s">
        <v>18</v>
      </c>
      <c r="C38" s="26">
        <v>3</v>
      </c>
      <c r="D38" s="27">
        <v>30000</v>
      </c>
      <c r="E38" s="8">
        <f>2000-1000</f>
        <v>1000</v>
      </c>
      <c r="F38" s="8"/>
      <c r="G38" s="8"/>
      <c r="H38" s="8"/>
      <c r="I38" s="41">
        <f>SUM(D38:H38)</f>
        <v>31000</v>
      </c>
    </row>
    <row r="39" spans="1:9" x14ac:dyDescent="0.25">
      <c r="A39" s="25"/>
      <c r="B39" s="57" t="s">
        <v>19</v>
      </c>
      <c r="C39" s="26"/>
      <c r="D39" s="27"/>
      <c r="E39" s="8"/>
      <c r="F39" s="8"/>
      <c r="G39" s="8"/>
      <c r="H39" s="8"/>
      <c r="I39" s="41">
        <f>SUM(D39:H39)</f>
        <v>0</v>
      </c>
    </row>
    <row r="40" spans="1:9" x14ac:dyDescent="0.25">
      <c r="A40" s="48">
        <v>8</v>
      </c>
      <c r="B40" s="51" t="s">
        <v>38</v>
      </c>
      <c r="C40" s="29">
        <f>C41</f>
        <v>6</v>
      </c>
      <c r="D40" s="30">
        <f>SUM(D41:D42)</f>
        <v>65000</v>
      </c>
      <c r="E40" s="11">
        <f t="shared" ref="E40" si="34">SUM(E41:E42)</f>
        <v>14000</v>
      </c>
      <c r="F40" s="59">
        <f t="shared" ref="F40" si="35">SUM(F41:F42)</f>
        <v>0</v>
      </c>
      <c r="G40" s="59">
        <f>SUM(G41:G42)</f>
        <v>360000</v>
      </c>
      <c r="H40" s="59">
        <f t="shared" ref="H40:I40" si="36">SUM(H41:H42)</f>
        <v>0</v>
      </c>
      <c r="I40" s="41">
        <f t="shared" si="36"/>
        <v>439000</v>
      </c>
    </row>
    <row r="41" spans="1:9" x14ac:dyDescent="0.25">
      <c r="A41" s="25"/>
      <c r="B41" s="57" t="s">
        <v>18</v>
      </c>
      <c r="C41" s="3">
        <v>6</v>
      </c>
      <c r="D41" s="27">
        <v>65000</v>
      </c>
      <c r="E41" s="8">
        <f>14000</f>
        <v>14000</v>
      </c>
      <c r="F41" s="8"/>
      <c r="G41" s="9">
        <v>260000</v>
      </c>
      <c r="H41" s="8"/>
      <c r="I41" s="61">
        <f>SUM(D41:H41)</f>
        <v>339000</v>
      </c>
    </row>
    <row r="42" spans="1:9" x14ac:dyDescent="0.25">
      <c r="A42" s="25"/>
      <c r="B42" s="57" t="s">
        <v>19</v>
      </c>
      <c r="C42" s="26"/>
      <c r="D42" s="27"/>
      <c r="E42" s="8"/>
      <c r="F42" s="8"/>
      <c r="G42" s="9">
        <v>100000</v>
      </c>
      <c r="H42" s="8"/>
      <c r="I42" s="61">
        <f>SUM(D42:H42)</f>
        <v>100000</v>
      </c>
    </row>
    <row r="43" spans="1:9" x14ac:dyDescent="0.25">
      <c r="A43" s="25">
        <v>9</v>
      </c>
      <c r="B43" s="51" t="s">
        <v>39</v>
      </c>
      <c r="C43" s="29">
        <f>C44</f>
        <v>8</v>
      </c>
      <c r="D43" s="30">
        <f>SUM(D44:D45)</f>
        <v>65600</v>
      </c>
      <c r="E43" s="11">
        <f>SUM(E44:E45)</f>
        <v>10000</v>
      </c>
      <c r="F43" s="59">
        <f t="shared" ref="F43:H43" si="37">SUM(F44:F45)</f>
        <v>0</v>
      </c>
      <c r="G43" s="59">
        <f t="shared" si="37"/>
        <v>0</v>
      </c>
      <c r="H43" s="59">
        <f t="shared" si="37"/>
        <v>0</v>
      </c>
      <c r="I43" s="41">
        <f>SUM(I44:I45)</f>
        <v>75600</v>
      </c>
    </row>
    <row r="44" spans="1:9" x14ac:dyDescent="0.25">
      <c r="A44" s="25"/>
      <c r="B44" s="57" t="s">
        <v>18</v>
      </c>
      <c r="C44" s="26">
        <v>8</v>
      </c>
      <c r="D44" s="27">
        <v>65600</v>
      </c>
      <c r="E44" s="8">
        <v>10000</v>
      </c>
      <c r="F44" s="8"/>
      <c r="G44" s="8"/>
      <c r="H44" s="8"/>
      <c r="I44" s="41">
        <f>SUM(D44:H44)</f>
        <v>75600</v>
      </c>
    </row>
    <row r="45" spans="1:9" x14ac:dyDescent="0.25">
      <c r="A45" s="25"/>
      <c r="B45" s="57" t="s">
        <v>19</v>
      </c>
      <c r="C45" s="26"/>
      <c r="D45" s="27"/>
      <c r="E45" s="8"/>
      <c r="F45" s="8"/>
      <c r="G45" s="8"/>
      <c r="H45" s="8"/>
      <c r="I45" s="41">
        <f>SUM(D45:H45)</f>
        <v>0</v>
      </c>
    </row>
    <row r="46" spans="1:9" x14ac:dyDescent="0.25">
      <c r="A46" s="25">
        <v>10</v>
      </c>
      <c r="B46" s="51" t="s">
        <v>45</v>
      </c>
      <c r="C46" s="29">
        <f>SUM(C47:C48)</f>
        <v>5</v>
      </c>
      <c r="D46" s="30">
        <f>SUM(D47:D48)</f>
        <v>55000</v>
      </c>
      <c r="E46" s="11">
        <f t="shared" ref="E46" si="38">SUM(E47:E48)</f>
        <v>10000</v>
      </c>
      <c r="F46" s="59">
        <f t="shared" ref="F46:I46" si="39">SUM(F47:F48)</f>
        <v>0</v>
      </c>
      <c r="G46" s="59">
        <f t="shared" si="39"/>
        <v>0</v>
      </c>
      <c r="H46" s="59">
        <f t="shared" si="39"/>
        <v>0</v>
      </c>
      <c r="I46" s="41">
        <f t="shared" si="39"/>
        <v>65000</v>
      </c>
    </row>
    <row r="47" spans="1:9" x14ac:dyDescent="0.25">
      <c r="A47" s="25"/>
      <c r="B47" s="57" t="s">
        <v>18</v>
      </c>
      <c r="C47" s="26">
        <v>5</v>
      </c>
      <c r="D47" s="27">
        <v>55000</v>
      </c>
      <c r="E47" s="8">
        <v>10000</v>
      </c>
      <c r="F47" s="8"/>
      <c r="G47" s="8"/>
      <c r="H47" s="8"/>
      <c r="I47" s="41">
        <f>SUM(D47:H47)</f>
        <v>65000</v>
      </c>
    </row>
    <row r="48" spans="1:9" x14ac:dyDescent="0.25">
      <c r="A48" s="25"/>
      <c r="B48" s="57" t="s">
        <v>19</v>
      </c>
      <c r="C48" s="26"/>
      <c r="D48" s="27"/>
      <c r="E48" s="8"/>
      <c r="F48" s="8"/>
      <c r="G48" s="8"/>
      <c r="H48" s="8"/>
      <c r="I48" s="41">
        <f>SUM(D48:H48)</f>
        <v>0</v>
      </c>
    </row>
    <row r="49" spans="1:9" ht="22.5" x14ac:dyDescent="0.25">
      <c r="A49" s="48">
        <v>11</v>
      </c>
      <c r="B49" s="58" t="s">
        <v>28</v>
      </c>
      <c r="C49" s="29">
        <f>C50+C51</f>
        <v>145</v>
      </c>
      <c r="D49" s="30">
        <f>D50+D51</f>
        <v>1442767</v>
      </c>
      <c r="E49" s="11">
        <f t="shared" ref="E49" si="40">E50+E51</f>
        <v>877000</v>
      </c>
      <c r="F49" s="59">
        <f t="shared" ref="F49:G49" si="41">F50+F51</f>
        <v>40000</v>
      </c>
      <c r="G49" s="59">
        <f t="shared" si="41"/>
        <v>0</v>
      </c>
      <c r="H49" s="59">
        <f>H50+H51</f>
        <v>30000</v>
      </c>
      <c r="I49" s="41">
        <f>I50+I51</f>
        <v>2389767</v>
      </c>
    </row>
    <row r="50" spans="1:9" x14ac:dyDescent="0.25">
      <c r="A50" s="25"/>
      <c r="B50" s="57" t="s">
        <v>18</v>
      </c>
      <c r="C50" s="26">
        <f>C53+C56</f>
        <v>145</v>
      </c>
      <c r="D50" s="27">
        <f>D53+D56</f>
        <v>1442767</v>
      </c>
      <c r="E50" s="27">
        <f>E53+E56</f>
        <v>777000</v>
      </c>
      <c r="F50" s="8">
        <f>F53+F56</f>
        <v>40000</v>
      </c>
      <c r="G50" s="8">
        <f t="shared" ref="G50:G51" si="42">G53+G56</f>
        <v>0</v>
      </c>
      <c r="H50" s="8">
        <f>H53+H56</f>
        <v>0</v>
      </c>
      <c r="I50" s="27">
        <f>I53+I56</f>
        <v>2259767</v>
      </c>
    </row>
    <row r="51" spans="1:9" x14ac:dyDescent="0.25">
      <c r="A51" s="25"/>
      <c r="B51" s="57" t="s">
        <v>19</v>
      </c>
      <c r="C51" s="26"/>
      <c r="D51" s="27">
        <f>D54+D57</f>
        <v>0</v>
      </c>
      <c r="E51" s="27">
        <f>E54+E57</f>
        <v>100000</v>
      </c>
      <c r="F51" s="8">
        <f t="shared" ref="F51" si="43">F54+F57</f>
        <v>0</v>
      </c>
      <c r="G51" s="8">
        <f t="shared" si="42"/>
        <v>0</v>
      </c>
      <c r="H51" s="8">
        <f>H54+H57</f>
        <v>30000</v>
      </c>
      <c r="I51" s="27">
        <f>I54+I57</f>
        <v>130000</v>
      </c>
    </row>
    <row r="52" spans="1:9" x14ac:dyDescent="0.25">
      <c r="A52" s="25" t="s">
        <v>40</v>
      </c>
      <c r="B52" s="62" t="s">
        <v>29</v>
      </c>
      <c r="C52" s="40">
        <f>C53</f>
        <v>3</v>
      </c>
      <c r="D52" s="41">
        <f>SUM(D53:D54)</f>
        <v>26436</v>
      </c>
      <c r="E52" s="44">
        <f t="shared" ref="E52" si="44">SUM(E53:E54)</f>
        <v>2000</v>
      </c>
      <c r="F52" s="44">
        <f t="shared" ref="F52:I52" si="45">SUM(F53:F54)</f>
        <v>0</v>
      </c>
      <c r="G52" s="44">
        <f t="shared" si="45"/>
        <v>0</v>
      </c>
      <c r="H52" s="44">
        <f t="shared" si="45"/>
        <v>0</v>
      </c>
      <c r="I52" s="41">
        <f t="shared" si="45"/>
        <v>28436</v>
      </c>
    </row>
    <row r="53" spans="1:9" x14ac:dyDescent="0.25">
      <c r="A53" s="25"/>
      <c r="B53" s="57" t="s">
        <v>18</v>
      </c>
      <c r="C53" s="26">
        <v>3</v>
      </c>
      <c r="D53" s="27">
        <v>26436</v>
      </c>
      <c r="E53" s="8">
        <v>2000</v>
      </c>
      <c r="F53" s="8"/>
      <c r="G53" s="8"/>
      <c r="H53" s="8"/>
      <c r="I53" s="27">
        <f>SUM(D53:H53)</f>
        <v>28436</v>
      </c>
    </row>
    <row r="54" spans="1:9" x14ac:dyDescent="0.25">
      <c r="A54" s="25"/>
      <c r="B54" s="57" t="s">
        <v>19</v>
      </c>
      <c r="C54" s="26"/>
      <c r="D54" s="27"/>
      <c r="E54" s="8"/>
      <c r="F54" s="8"/>
      <c r="G54" s="8"/>
      <c r="H54" s="8"/>
      <c r="I54" s="41">
        <f>SUM(D54:H54)</f>
        <v>0</v>
      </c>
    </row>
    <row r="55" spans="1:9" x14ac:dyDescent="0.25">
      <c r="A55" s="25" t="s">
        <v>41</v>
      </c>
      <c r="B55" s="62" t="s">
        <v>30</v>
      </c>
      <c r="C55" s="34">
        <f>C56</f>
        <v>142</v>
      </c>
      <c r="D55" s="35">
        <f>SUM(D56:D57)</f>
        <v>1416331</v>
      </c>
      <c r="E55" s="12">
        <f t="shared" ref="E55" si="46">SUM(E56:E57)</f>
        <v>875000</v>
      </c>
      <c r="F55" s="59">
        <f t="shared" ref="F55:H55" si="47">SUM(F56:F57)</f>
        <v>40000</v>
      </c>
      <c r="G55" s="59">
        <f t="shared" si="47"/>
        <v>0</v>
      </c>
      <c r="H55" s="59">
        <f t="shared" si="47"/>
        <v>30000</v>
      </c>
      <c r="I55" s="41">
        <f>SUM(I56:I57)</f>
        <v>2361331</v>
      </c>
    </row>
    <row r="56" spans="1:9" x14ac:dyDescent="0.25">
      <c r="A56" s="25"/>
      <c r="B56" s="57" t="s">
        <v>18</v>
      </c>
      <c r="C56" s="26">
        <f>142</f>
        <v>142</v>
      </c>
      <c r="D56" s="27">
        <f>1339536+101774-4979-20000</f>
        <v>1416331</v>
      </c>
      <c r="E56" s="7">
        <f>595000+180000</f>
        <v>775000</v>
      </c>
      <c r="F56" s="8">
        <v>40000</v>
      </c>
      <c r="G56" s="8"/>
      <c r="H56" s="8"/>
      <c r="I56" s="41">
        <f>SUM(D56:H56)</f>
        <v>2231331</v>
      </c>
    </row>
    <row r="57" spans="1:9" x14ac:dyDescent="0.25">
      <c r="A57" s="25"/>
      <c r="B57" s="57" t="s">
        <v>19</v>
      </c>
      <c r="C57" s="26"/>
      <c r="D57" s="27"/>
      <c r="E57" s="7">
        <v>100000</v>
      </c>
      <c r="F57" s="8"/>
      <c r="G57" s="8"/>
      <c r="H57" s="8">
        <v>30000</v>
      </c>
      <c r="I57" s="41">
        <f>SUM(D57:H57)</f>
        <v>130000</v>
      </c>
    </row>
    <row r="58" spans="1:9" x14ac:dyDescent="0.25">
      <c r="A58" s="25">
        <v>12</v>
      </c>
      <c r="B58" s="63" t="s">
        <v>31</v>
      </c>
      <c r="C58" s="26">
        <f>C59</f>
        <v>15</v>
      </c>
      <c r="D58" s="35">
        <f>D59+D60</f>
        <v>141890</v>
      </c>
      <c r="E58" s="12">
        <f t="shared" ref="E58" si="48">E59+E60</f>
        <v>65000</v>
      </c>
      <c r="F58" s="59">
        <f t="shared" ref="F58:I58" si="49">F59+F60</f>
        <v>5000</v>
      </c>
      <c r="G58" s="59">
        <f t="shared" si="49"/>
        <v>60000</v>
      </c>
      <c r="H58" s="59">
        <f t="shared" si="49"/>
        <v>95000</v>
      </c>
      <c r="I58" s="41">
        <f t="shared" si="49"/>
        <v>366890</v>
      </c>
    </row>
    <row r="59" spans="1:9" x14ac:dyDescent="0.25">
      <c r="A59" s="25"/>
      <c r="B59" s="57" t="s">
        <v>18</v>
      </c>
      <c r="C59" s="26">
        <v>15</v>
      </c>
      <c r="D59" s="32">
        <f>156890-15000</f>
        <v>141890</v>
      </c>
      <c r="E59" s="9">
        <v>65000</v>
      </c>
      <c r="F59" s="9">
        <v>5000</v>
      </c>
      <c r="G59" s="9">
        <v>40000</v>
      </c>
      <c r="H59" s="9">
        <v>95000</v>
      </c>
      <c r="I59" s="41">
        <f>SUM(D59:H59)</f>
        <v>346890</v>
      </c>
    </row>
    <row r="60" spans="1:9" x14ac:dyDescent="0.25">
      <c r="A60" s="25"/>
      <c r="B60" s="57" t="s">
        <v>19</v>
      </c>
      <c r="C60" s="26"/>
      <c r="D60" s="27"/>
      <c r="E60" s="8"/>
      <c r="F60" s="8"/>
      <c r="G60" s="9">
        <v>20000</v>
      </c>
      <c r="H60" s="8"/>
      <c r="I60" s="41">
        <f>SUM(D60:H60)</f>
        <v>20000</v>
      </c>
    </row>
    <row r="61" spans="1:9" x14ac:dyDescent="0.25">
      <c r="A61" s="25">
        <v>13</v>
      </c>
      <c r="B61" s="51" t="s">
        <v>32</v>
      </c>
      <c r="C61" s="29">
        <f>C62</f>
        <v>12</v>
      </c>
      <c r="D61" s="30">
        <f>SUM(D62:D63)</f>
        <v>105460</v>
      </c>
      <c r="E61" s="11">
        <f t="shared" ref="E61" si="50">SUM(E62:E63)</f>
        <v>70000</v>
      </c>
      <c r="F61" s="59">
        <f t="shared" ref="F61:I61" si="51">SUM(F62:F63)</f>
        <v>0</v>
      </c>
      <c r="G61" s="59">
        <f t="shared" si="51"/>
        <v>160000</v>
      </c>
      <c r="H61" s="59">
        <f t="shared" si="51"/>
        <v>0</v>
      </c>
      <c r="I61" s="41">
        <f t="shared" si="51"/>
        <v>335460</v>
      </c>
    </row>
    <row r="62" spans="1:9" x14ac:dyDescent="0.25">
      <c r="A62" s="25"/>
      <c r="B62" s="57" t="s">
        <v>18</v>
      </c>
      <c r="C62" s="3">
        <v>12</v>
      </c>
      <c r="D62" s="27">
        <v>105460</v>
      </c>
      <c r="E62" s="8">
        <v>50000</v>
      </c>
      <c r="F62" s="8"/>
      <c r="G62" s="8">
        <v>110000</v>
      </c>
      <c r="H62" s="8"/>
      <c r="I62" s="61">
        <f>SUM(D62:H62)</f>
        <v>265460</v>
      </c>
    </row>
    <row r="63" spans="1:9" x14ac:dyDescent="0.25">
      <c r="A63" s="25"/>
      <c r="B63" s="57" t="s">
        <v>19</v>
      </c>
      <c r="C63" s="26"/>
      <c r="D63" s="27"/>
      <c r="E63" s="8">
        <v>20000</v>
      </c>
      <c r="F63" s="8"/>
      <c r="G63" s="8">
        <v>50000</v>
      </c>
      <c r="H63" s="8"/>
      <c r="I63" s="61">
        <f>SUM(D63:H63)</f>
        <v>70000</v>
      </c>
    </row>
    <row r="64" spans="1:9" x14ac:dyDescent="0.25">
      <c r="A64" s="48">
        <v>14</v>
      </c>
      <c r="B64" s="58" t="s">
        <v>47</v>
      </c>
      <c r="C64" s="29">
        <f>C65</f>
        <v>823</v>
      </c>
      <c r="D64" s="30">
        <f>D65+D66</f>
        <v>7015904</v>
      </c>
      <c r="E64" s="65">
        <f t="shared" ref="E64" si="52">E65+E66</f>
        <v>533000</v>
      </c>
      <c r="F64" s="59">
        <f t="shared" ref="F64:G64" si="53">F65+F66</f>
        <v>75000</v>
      </c>
      <c r="G64" s="59">
        <f t="shared" si="53"/>
        <v>0</v>
      </c>
      <c r="H64" s="59">
        <f>H65+H66</f>
        <v>30000</v>
      </c>
      <c r="I64" s="41">
        <f t="shared" ref="I64" si="54">I65+I66</f>
        <v>7653904</v>
      </c>
    </row>
    <row r="65" spans="1:9" x14ac:dyDescent="0.25">
      <c r="A65" s="25"/>
      <c r="B65" s="57" t="s">
        <v>18</v>
      </c>
      <c r="C65" s="26">
        <f>C68+C71+C74+C77</f>
        <v>823</v>
      </c>
      <c r="D65" s="27">
        <f>D68+D71+D74+D77</f>
        <v>7015904</v>
      </c>
      <c r="E65" s="7">
        <f>E68+E71+E74+E77</f>
        <v>483000</v>
      </c>
      <c r="F65" s="7">
        <f t="shared" ref="F65:H66" si="55">F68+F71+F74+F77</f>
        <v>75000</v>
      </c>
      <c r="G65" s="7">
        <f t="shared" si="55"/>
        <v>0</v>
      </c>
      <c r="H65" s="7">
        <f>H68+H71+H74+H77</f>
        <v>0</v>
      </c>
      <c r="I65" s="27">
        <f t="shared" ref="I65" si="56">I68+I71+I74+I77</f>
        <v>7573904</v>
      </c>
    </row>
    <row r="66" spans="1:9" x14ac:dyDescent="0.25">
      <c r="A66" s="25"/>
      <c r="B66" s="57" t="s">
        <v>19</v>
      </c>
      <c r="C66" s="26"/>
      <c r="D66" s="27">
        <f>D69+D72+D75+D78</f>
        <v>0</v>
      </c>
      <c r="E66" s="7">
        <f>E69+E72+E75+E78</f>
        <v>50000</v>
      </c>
      <c r="F66" s="7">
        <f t="shared" si="55"/>
        <v>0</v>
      </c>
      <c r="G66" s="7">
        <f t="shared" si="55"/>
        <v>0</v>
      </c>
      <c r="H66" s="7">
        <f t="shared" si="55"/>
        <v>30000</v>
      </c>
      <c r="I66" s="27">
        <f>H66+G66+F66+E66+D66</f>
        <v>80000</v>
      </c>
    </row>
    <row r="67" spans="1:9" x14ac:dyDescent="0.25">
      <c r="A67" s="25">
        <v>14.1</v>
      </c>
      <c r="B67" s="62" t="s">
        <v>29</v>
      </c>
      <c r="C67" s="34">
        <f>C68</f>
        <v>11</v>
      </c>
      <c r="D67" s="35">
        <f>SUM(D68:D69)</f>
        <v>102065</v>
      </c>
      <c r="E67" s="13">
        <f t="shared" ref="E67" si="57">SUM(E68:E69)</f>
        <v>23000</v>
      </c>
      <c r="F67" s="43">
        <f t="shared" ref="F67:I67" si="58">SUM(F68:F69)</f>
        <v>75000</v>
      </c>
      <c r="G67" s="43">
        <f t="shared" si="58"/>
        <v>0</v>
      </c>
      <c r="H67" s="43">
        <f t="shared" si="58"/>
        <v>0</v>
      </c>
      <c r="I67" s="41">
        <f t="shared" si="58"/>
        <v>200065</v>
      </c>
    </row>
    <row r="68" spans="1:9" x14ac:dyDescent="0.25">
      <c r="A68" s="25"/>
      <c r="B68" s="57" t="s">
        <v>18</v>
      </c>
      <c r="C68" s="26">
        <v>11</v>
      </c>
      <c r="D68" s="27">
        <f>87065+15000</f>
        <v>102065</v>
      </c>
      <c r="E68" s="7">
        <v>23000</v>
      </c>
      <c r="F68" s="7">
        <v>75000</v>
      </c>
      <c r="G68" s="7"/>
      <c r="H68" s="7"/>
      <c r="I68" s="41">
        <f>SUM(D68:H68)</f>
        <v>200065</v>
      </c>
    </row>
    <row r="69" spans="1:9" x14ac:dyDescent="0.25">
      <c r="A69" s="25"/>
      <c r="B69" s="57" t="s">
        <v>19</v>
      </c>
      <c r="C69" s="26"/>
      <c r="D69" s="27"/>
      <c r="E69" s="7"/>
      <c r="F69" s="7"/>
      <c r="G69" s="7"/>
      <c r="H69" s="7"/>
      <c r="I69" s="41">
        <f>SUM(D69:H69)</f>
        <v>0</v>
      </c>
    </row>
    <row r="70" spans="1:9" x14ac:dyDescent="0.25">
      <c r="A70" s="25">
        <v>14.2</v>
      </c>
      <c r="B70" s="62" t="s">
        <v>33</v>
      </c>
      <c r="C70" s="34">
        <f>C71</f>
        <v>34</v>
      </c>
      <c r="D70" s="35">
        <f>SUM(D71:D72)</f>
        <v>250000</v>
      </c>
      <c r="E70" s="13">
        <f t="shared" ref="E70" si="59">SUM(E71:E72)</f>
        <v>46000</v>
      </c>
      <c r="F70" s="43">
        <f t="shared" ref="F70:I70" si="60">SUM(F71:F72)</f>
        <v>0</v>
      </c>
      <c r="G70" s="43">
        <f t="shared" si="60"/>
        <v>0</v>
      </c>
      <c r="H70" s="43">
        <f t="shared" si="60"/>
        <v>0</v>
      </c>
      <c r="I70" s="41">
        <f t="shared" si="60"/>
        <v>296000</v>
      </c>
    </row>
    <row r="71" spans="1:9" x14ac:dyDescent="0.25">
      <c r="A71" s="25"/>
      <c r="B71" s="57" t="s">
        <v>18</v>
      </c>
      <c r="C71" s="26">
        <v>34</v>
      </c>
      <c r="D71" s="32">
        <f>260000-10000</f>
        <v>250000</v>
      </c>
      <c r="E71" s="7">
        <v>16000</v>
      </c>
      <c r="F71" s="7"/>
      <c r="G71" s="7"/>
      <c r="H71" s="7"/>
      <c r="I71" s="41">
        <f>SUM(D71:H71)</f>
        <v>266000</v>
      </c>
    </row>
    <row r="72" spans="1:9" x14ac:dyDescent="0.25">
      <c r="A72" s="25"/>
      <c r="B72" s="57" t="s">
        <v>19</v>
      </c>
      <c r="C72" s="26"/>
      <c r="D72" s="32"/>
      <c r="E72" s="7">
        <v>30000</v>
      </c>
      <c r="F72" s="9"/>
      <c r="G72" s="9"/>
      <c r="H72" s="9"/>
      <c r="I72" s="41">
        <f>SUM(D72:H72)</f>
        <v>30000</v>
      </c>
    </row>
    <row r="73" spans="1:9" x14ac:dyDescent="0.25">
      <c r="A73" s="25">
        <v>14.3</v>
      </c>
      <c r="B73" s="62" t="s">
        <v>34</v>
      </c>
      <c r="C73" s="34">
        <f>C74+C75</f>
        <v>603</v>
      </c>
      <c r="D73" s="35">
        <f>SUM(D74:D75)</f>
        <v>5085271</v>
      </c>
      <c r="E73" s="13">
        <f t="shared" ref="E73" si="61">SUM(E74:E75)</f>
        <v>340000</v>
      </c>
      <c r="F73" s="43">
        <f t="shared" ref="F73:I73" si="62">SUM(F74:F75)</f>
        <v>0</v>
      </c>
      <c r="G73" s="43">
        <f t="shared" si="62"/>
        <v>0</v>
      </c>
      <c r="H73" s="43">
        <f t="shared" si="62"/>
        <v>0</v>
      </c>
      <c r="I73" s="41">
        <f t="shared" si="62"/>
        <v>5425271</v>
      </c>
    </row>
    <row r="74" spans="1:9" x14ac:dyDescent="0.25">
      <c r="A74" s="25"/>
      <c r="B74" s="57" t="s">
        <v>18</v>
      </c>
      <c r="C74" s="26">
        <v>603</v>
      </c>
      <c r="D74" s="32">
        <f>4847505+207766+30000</f>
        <v>5085271</v>
      </c>
      <c r="E74" s="7">
        <v>330000</v>
      </c>
      <c r="F74" s="7"/>
      <c r="G74" s="7"/>
      <c r="H74" s="7"/>
      <c r="I74" s="41">
        <f>SUM(D74:H74)</f>
        <v>5415271</v>
      </c>
    </row>
    <row r="75" spans="1:9" x14ac:dyDescent="0.25">
      <c r="A75" s="25"/>
      <c r="B75" s="57" t="s">
        <v>19</v>
      </c>
      <c r="C75" s="26"/>
      <c r="D75" s="27"/>
      <c r="E75" s="7">
        <v>10000</v>
      </c>
      <c r="F75" s="7"/>
      <c r="G75" s="7"/>
      <c r="H75" s="7"/>
      <c r="I75" s="41">
        <f>SUM(D75:H75)</f>
        <v>10000</v>
      </c>
    </row>
    <row r="76" spans="1:9" x14ac:dyDescent="0.25">
      <c r="A76" s="25">
        <v>14.4</v>
      </c>
      <c r="B76" s="62" t="s">
        <v>35</v>
      </c>
      <c r="C76" s="34">
        <f>C77</f>
        <v>175</v>
      </c>
      <c r="D76" s="35">
        <f>SUM(D77:D78)</f>
        <v>1578568</v>
      </c>
      <c r="E76" s="13">
        <f>SUM(E77:E78)</f>
        <v>124000</v>
      </c>
      <c r="F76" s="43">
        <f t="shared" ref="F76:I76" si="63">SUM(F77:F78)</f>
        <v>0</v>
      </c>
      <c r="G76" s="43">
        <f t="shared" si="63"/>
        <v>0</v>
      </c>
      <c r="H76" s="43">
        <f t="shared" si="63"/>
        <v>30000</v>
      </c>
      <c r="I76" s="41">
        <f t="shared" si="63"/>
        <v>1732568</v>
      </c>
    </row>
    <row r="77" spans="1:9" x14ac:dyDescent="0.25">
      <c r="A77" s="25"/>
      <c r="B77" s="57" t="s">
        <v>18</v>
      </c>
      <c r="C77" s="26">
        <v>175</v>
      </c>
      <c r="D77" s="32">
        <f>1770000-215432+24000</f>
        <v>1578568</v>
      </c>
      <c r="E77" s="7">
        <v>114000</v>
      </c>
      <c r="F77" s="7"/>
      <c r="G77" s="7"/>
      <c r="H77" s="7"/>
      <c r="I77" s="41">
        <f>SUM(D77:H77)</f>
        <v>1692568</v>
      </c>
    </row>
    <row r="78" spans="1:9" x14ac:dyDescent="0.25">
      <c r="A78" s="25"/>
      <c r="B78" s="57" t="s">
        <v>19</v>
      </c>
      <c r="C78" s="26"/>
      <c r="D78" s="32"/>
      <c r="E78" s="7">
        <v>10000</v>
      </c>
      <c r="F78" s="7"/>
      <c r="G78" s="7"/>
      <c r="H78" s="7">
        <v>30000</v>
      </c>
      <c r="I78" s="41">
        <f>SUM(D78:H78)</f>
        <v>40000</v>
      </c>
    </row>
    <row r="79" spans="1:9" x14ac:dyDescent="0.25">
      <c r="A79" s="47"/>
      <c r="B79" s="47"/>
      <c r="C79" s="47"/>
      <c r="D79" s="47"/>
      <c r="E79" s="47"/>
      <c r="F79" s="47"/>
      <c r="G79" s="47"/>
      <c r="H79" s="47"/>
      <c r="I79" s="47"/>
    </row>
    <row r="80" spans="1:9" x14ac:dyDescent="0.25">
      <c r="A80" s="64"/>
      <c r="B80" s="64"/>
      <c r="C80" s="64"/>
      <c r="D80" s="64"/>
      <c r="E80" s="64"/>
      <c r="F80" s="64"/>
      <c r="G80" s="64"/>
      <c r="H80" s="64"/>
      <c r="I80" s="64"/>
    </row>
    <row r="81" spans="1:9" x14ac:dyDescent="0.25">
      <c r="A81" s="64"/>
      <c r="B81" s="64"/>
      <c r="C81" s="64"/>
      <c r="D81" s="64"/>
      <c r="E81" s="64"/>
      <c r="F81" s="64"/>
      <c r="G81" s="64"/>
      <c r="H81" s="64"/>
      <c r="I81" s="64"/>
    </row>
  </sheetData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78"/>
  <sheetViews>
    <sheetView topLeftCell="A55" zoomScale="124" zoomScaleNormal="124" workbookViewId="0">
      <selection activeCell="J1" sqref="J1:P1048576"/>
    </sheetView>
  </sheetViews>
  <sheetFormatPr defaultRowHeight="15" x14ac:dyDescent="0.25"/>
  <cols>
    <col min="1" max="1" width="3.7109375" customWidth="1"/>
    <col min="2" max="2" width="17.28515625" customWidth="1"/>
    <col min="3" max="3" width="6" customWidth="1"/>
    <col min="4" max="4" width="13.42578125" customWidth="1"/>
    <col min="5" max="5" width="10.7109375" customWidth="1"/>
    <col min="7" max="7" width="10.85546875" customWidth="1"/>
    <col min="8" max="8" width="10.28515625" customWidth="1"/>
    <col min="9" max="9" width="12.5703125" customWidth="1"/>
  </cols>
  <sheetData>
    <row r="1" spans="1:9" x14ac:dyDescent="0.25">
      <c r="A1" s="15" t="s">
        <v>44</v>
      </c>
      <c r="B1" s="16" t="s">
        <v>55</v>
      </c>
      <c r="C1" s="15"/>
      <c r="D1" s="15"/>
      <c r="E1" s="15"/>
      <c r="F1" s="15"/>
      <c r="G1" s="16"/>
      <c r="H1" s="16"/>
      <c r="I1" s="15"/>
    </row>
    <row r="2" spans="1:9" ht="22.5" x14ac:dyDescent="0.25">
      <c r="A2" s="17" t="s">
        <v>0</v>
      </c>
      <c r="B2" s="18" t="s">
        <v>1</v>
      </c>
      <c r="C2" s="19" t="s">
        <v>2</v>
      </c>
      <c r="D2" s="19" t="s">
        <v>53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</row>
    <row r="3" spans="1:9" x14ac:dyDescent="0.25">
      <c r="A3" s="20" t="s">
        <v>8</v>
      </c>
      <c r="B3" s="21" t="s">
        <v>9</v>
      </c>
      <c r="C3" s="21" t="s">
        <v>10</v>
      </c>
      <c r="D3" s="21" t="s">
        <v>11</v>
      </c>
      <c r="E3" s="21" t="s">
        <v>12</v>
      </c>
      <c r="F3" s="21" t="s">
        <v>13</v>
      </c>
      <c r="G3" s="21" t="s">
        <v>14</v>
      </c>
      <c r="H3" s="21" t="s">
        <v>15</v>
      </c>
      <c r="I3" s="21" t="s">
        <v>16</v>
      </c>
    </row>
    <row r="4" spans="1:9" x14ac:dyDescent="0.25">
      <c r="A4" s="22">
        <v>1</v>
      </c>
      <c r="B4" s="18" t="s">
        <v>17</v>
      </c>
      <c r="C4" s="23">
        <f>C5+C6</f>
        <v>1181</v>
      </c>
      <c r="D4" s="24">
        <f>D5+D6</f>
        <v>10983754</v>
      </c>
      <c r="E4" s="6">
        <f>E5+E6</f>
        <v>3301105</v>
      </c>
      <c r="F4" s="56">
        <f t="shared" ref="F4:I4" si="0">F5+F6</f>
        <v>329175</v>
      </c>
      <c r="G4" s="56">
        <f t="shared" si="0"/>
        <v>816480</v>
      </c>
      <c r="H4" s="56">
        <f t="shared" si="0"/>
        <v>4266454</v>
      </c>
      <c r="I4" s="55">
        <f t="shared" si="0"/>
        <v>19696968</v>
      </c>
    </row>
    <row r="5" spans="1:9" x14ac:dyDescent="0.25">
      <c r="A5" s="25"/>
      <c r="B5" s="4" t="s">
        <v>18</v>
      </c>
      <c r="C5" s="26">
        <f>C8+C11+C14+C23+C26+C29+C38+C41+C44+C47+C50+C59+C62+C65</f>
        <v>1181</v>
      </c>
      <c r="D5" s="27">
        <f>D8+D11+D59+D14+D23+D26+D29+D38+D41+D44+D47+D50+D62+D65</f>
        <v>10983754</v>
      </c>
      <c r="E5" s="7">
        <f t="shared" ref="E5" si="1">E8+E11+E59+E14+E23+E26+E29+E38+E41+E44+E47+E50+E62+E65</f>
        <v>2894105</v>
      </c>
      <c r="F5" s="7">
        <f t="shared" ref="F5:H5" si="2">F8+F11+F59+F14+F23+F26+F29+F38+F41+F44+F47+F50+F62+F65</f>
        <v>329175</v>
      </c>
      <c r="G5" s="7">
        <f t="shared" si="2"/>
        <v>596480</v>
      </c>
      <c r="H5" s="7">
        <f t="shared" si="2"/>
        <v>3425420</v>
      </c>
      <c r="I5" s="27">
        <f>D5+E5+F5+G5+H5</f>
        <v>18228934</v>
      </c>
    </row>
    <row r="6" spans="1:9" x14ac:dyDescent="0.25">
      <c r="A6" s="25"/>
      <c r="B6" s="4" t="s">
        <v>19</v>
      </c>
      <c r="C6" s="26">
        <f>C9+C12+C15</f>
        <v>0</v>
      </c>
      <c r="D6" s="26">
        <f>D9+D12+D15+D24+D27+D30+D39+D42+D45+D48+D51+D63+D66+D60</f>
        <v>0</v>
      </c>
      <c r="E6" s="2">
        <f t="shared" ref="E6" si="3">E9+E12+E15+E24+E27+E30+E39+E42+E45+E48+E51+E63+E66+E60</f>
        <v>407000</v>
      </c>
      <c r="F6" s="2">
        <f t="shared" ref="F6:H6" si="4">F9+F12+F15+F24+F27+F30+F39+F42+F45+F48+F51+F63+F66+F60</f>
        <v>0</v>
      </c>
      <c r="G6" s="2">
        <f t="shared" si="4"/>
        <v>220000</v>
      </c>
      <c r="H6" s="2">
        <f t="shared" si="4"/>
        <v>841034</v>
      </c>
      <c r="I6" s="27">
        <f>D6+E6+F6+G6+H6</f>
        <v>1468034</v>
      </c>
    </row>
    <row r="7" spans="1:9" x14ac:dyDescent="0.25">
      <c r="A7" s="28">
        <v>1</v>
      </c>
      <c r="B7" s="18" t="s">
        <v>20</v>
      </c>
      <c r="C7" s="29">
        <f>C8</f>
        <v>37</v>
      </c>
      <c r="D7" s="30">
        <f>D9+D8</f>
        <v>437000</v>
      </c>
      <c r="E7" s="10">
        <f t="shared" ref="E7" si="5">SUM(E8:E9)</f>
        <v>155000</v>
      </c>
      <c r="F7" s="43">
        <f t="shared" ref="F7" si="6">SUM(F8:F9)</f>
        <v>0</v>
      </c>
      <c r="G7" s="43">
        <f t="shared" ref="G7:I7" si="7">SUM(G8:G9)</f>
        <v>206480</v>
      </c>
      <c r="H7" s="43">
        <f t="shared" si="7"/>
        <v>0</v>
      </c>
      <c r="I7" s="41">
        <f t="shared" si="7"/>
        <v>798480</v>
      </c>
    </row>
    <row r="8" spans="1:9" x14ac:dyDescent="0.25">
      <c r="A8" s="22"/>
      <c r="B8" s="4" t="s">
        <v>18</v>
      </c>
      <c r="C8" s="3">
        <v>37</v>
      </c>
      <c r="D8" s="27">
        <v>437000</v>
      </c>
      <c r="E8" s="7">
        <v>105000</v>
      </c>
      <c r="F8" s="7"/>
      <c r="G8" s="9">
        <v>156480</v>
      </c>
      <c r="H8" s="7"/>
      <c r="I8" s="32">
        <f>SUM(D8:H8)</f>
        <v>698480</v>
      </c>
    </row>
    <row r="9" spans="1:9" x14ac:dyDescent="0.25">
      <c r="A9" s="22"/>
      <c r="B9" s="4" t="s">
        <v>19</v>
      </c>
      <c r="C9" s="26"/>
      <c r="D9" s="27">
        <v>0</v>
      </c>
      <c r="E9" s="7">
        <v>50000</v>
      </c>
      <c r="F9" s="7"/>
      <c r="G9" s="9">
        <v>50000</v>
      </c>
      <c r="H9" s="7"/>
      <c r="I9" s="32">
        <f>SUM(D9:H9)</f>
        <v>100000</v>
      </c>
    </row>
    <row r="10" spans="1:9" ht="22.5" x14ac:dyDescent="0.25">
      <c r="A10" s="28">
        <v>2</v>
      </c>
      <c r="B10" s="31" t="s">
        <v>21</v>
      </c>
      <c r="C10" s="29">
        <f>C12+C11</f>
        <v>27</v>
      </c>
      <c r="D10" s="30">
        <v>242000</v>
      </c>
      <c r="E10" s="11">
        <f t="shared" ref="E10" si="8">SUM(E11:E12)</f>
        <v>17000</v>
      </c>
      <c r="F10" s="59">
        <f t="shared" ref="F10:H10" si="9">SUM(F11:F12)</f>
        <v>0</v>
      </c>
      <c r="G10" s="59">
        <f t="shared" si="9"/>
        <v>0</v>
      </c>
      <c r="H10" s="59">
        <f t="shared" si="9"/>
        <v>0</v>
      </c>
      <c r="I10" s="41">
        <f>SUM(D10:H10)</f>
        <v>259000</v>
      </c>
    </row>
    <row r="11" spans="1:9" x14ac:dyDescent="0.25">
      <c r="A11" s="22"/>
      <c r="B11" s="4" t="s">
        <v>18</v>
      </c>
      <c r="C11" s="26">
        <v>27</v>
      </c>
      <c r="D11" s="27">
        <v>242000</v>
      </c>
      <c r="E11" s="8">
        <f>15000</f>
        <v>15000</v>
      </c>
      <c r="F11" s="8"/>
      <c r="G11" s="8"/>
      <c r="H11" s="8"/>
      <c r="I11" s="27">
        <f>SUM(D11:H11)</f>
        <v>257000</v>
      </c>
    </row>
    <row r="12" spans="1:9" x14ac:dyDescent="0.25">
      <c r="A12" s="22"/>
      <c r="B12" s="4" t="s">
        <v>19</v>
      </c>
      <c r="C12" s="26"/>
      <c r="D12" s="27"/>
      <c r="E12" s="8">
        <v>2000</v>
      </c>
      <c r="F12" s="8"/>
      <c r="G12" s="8"/>
      <c r="H12" s="8"/>
      <c r="I12" s="27">
        <f>SUM(D12:H12)</f>
        <v>2000</v>
      </c>
    </row>
    <row r="13" spans="1:9" x14ac:dyDescent="0.25">
      <c r="A13" s="28">
        <v>3</v>
      </c>
      <c r="B13" s="31" t="s">
        <v>29</v>
      </c>
      <c r="C13" s="29">
        <f>C14+C15</f>
        <v>33</v>
      </c>
      <c r="D13" s="30">
        <f t="shared" ref="D13:E13" si="10">D14+D15</f>
        <v>265000</v>
      </c>
      <c r="E13" s="11">
        <f t="shared" si="10"/>
        <v>99000</v>
      </c>
      <c r="F13" s="59">
        <f t="shared" ref="F13:I13" si="11">F14+F15</f>
        <v>0</v>
      </c>
      <c r="G13" s="59">
        <f t="shared" si="11"/>
        <v>0</v>
      </c>
      <c r="H13" s="59">
        <f t="shared" si="11"/>
        <v>0</v>
      </c>
      <c r="I13" s="41">
        <f t="shared" si="11"/>
        <v>364000</v>
      </c>
    </row>
    <row r="14" spans="1:9" x14ac:dyDescent="0.25">
      <c r="A14" s="22"/>
      <c r="B14" s="4" t="s">
        <v>18</v>
      </c>
      <c r="C14" s="26">
        <f>C17+C20</f>
        <v>33</v>
      </c>
      <c r="D14" s="27">
        <f>D17+D20</f>
        <v>265000</v>
      </c>
      <c r="E14" s="8">
        <f>E17+E20</f>
        <v>94000</v>
      </c>
      <c r="F14" s="8">
        <f t="shared" ref="F14:F15" si="12">F17+F20</f>
        <v>0</v>
      </c>
      <c r="G14" s="9"/>
      <c r="H14" s="8">
        <f t="shared" ref="G14:I15" si="13">H17+H20</f>
        <v>0</v>
      </c>
      <c r="I14" s="27">
        <f t="shared" si="13"/>
        <v>359000</v>
      </c>
    </row>
    <row r="15" spans="1:9" x14ac:dyDescent="0.25">
      <c r="A15" s="22"/>
      <c r="B15" s="4" t="s">
        <v>19</v>
      </c>
      <c r="C15" s="26">
        <f>C18+C21</f>
        <v>0</v>
      </c>
      <c r="D15" s="27">
        <f t="shared" ref="D15" si="14">D18+D21</f>
        <v>0</v>
      </c>
      <c r="E15" s="8">
        <f>E18+E21</f>
        <v>5000</v>
      </c>
      <c r="F15" s="8">
        <f t="shared" si="12"/>
        <v>0</v>
      </c>
      <c r="G15" s="8">
        <f t="shared" si="13"/>
        <v>0</v>
      </c>
      <c r="H15" s="8">
        <f t="shared" si="13"/>
        <v>0</v>
      </c>
      <c r="I15" s="27">
        <f t="shared" si="13"/>
        <v>5000</v>
      </c>
    </row>
    <row r="16" spans="1:9" x14ac:dyDescent="0.25">
      <c r="A16" s="25">
        <v>3.1</v>
      </c>
      <c r="B16" s="33" t="s">
        <v>22</v>
      </c>
      <c r="C16" s="5">
        <f>C17</f>
        <v>31</v>
      </c>
      <c r="D16" s="35">
        <f>SUM(D17:D18)</f>
        <v>247000</v>
      </c>
      <c r="E16" s="12">
        <f t="shared" ref="E16" si="15">SUM(E17:E18)</f>
        <v>85000</v>
      </c>
      <c r="F16" s="59">
        <f t="shared" ref="F16:I16" si="16">SUM(F17:F18)</f>
        <v>0</v>
      </c>
      <c r="G16" s="59">
        <f t="shared" si="16"/>
        <v>0</v>
      </c>
      <c r="H16" s="59">
        <f t="shared" si="16"/>
        <v>0</v>
      </c>
      <c r="I16" s="41">
        <f t="shared" si="16"/>
        <v>332000</v>
      </c>
    </row>
    <row r="17" spans="1:9" x14ac:dyDescent="0.25">
      <c r="A17" s="25"/>
      <c r="B17" s="4" t="s">
        <v>18</v>
      </c>
      <c r="C17" s="26">
        <v>31</v>
      </c>
      <c r="D17" s="27">
        <v>247000</v>
      </c>
      <c r="E17" s="8">
        <v>80000</v>
      </c>
      <c r="F17" s="8"/>
      <c r="G17" s="8"/>
      <c r="H17" s="8"/>
      <c r="I17" s="27">
        <f>SUM(D17:H17)</f>
        <v>327000</v>
      </c>
    </row>
    <row r="18" spans="1:9" x14ac:dyDescent="0.25">
      <c r="A18" s="25"/>
      <c r="B18" s="4" t="s">
        <v>19</v>
      </c>
      <c r="C18" s="26"/>
      <c r="D18" s="27"/>
      <c r="E18" s="8">
        <v>5000</v>
      </c>
      <c r="F18" s="8"/>
      <c r="G18" s="8"/>
      <c r="H18" s="8"/>
      <c r="I18" s="27">
        <f>SUM(D18:H18)</f>
        <v>5000</v>
      </c>
    </row>
    <row r="19" spans="1:9" x14ac:dyDescent="0.25">
      <c r="A19" s="25">
        <v>3.2</v>
      </c>
      <c r="B19" s="36" t="s">
        <v>23</v>
      </c>
      <c r="C19" s="34">
        <f>C20</f>
        <v>2</v>
      </c>
      <c r="D19" s="35">
        <f>SUM(D20:D21)</f>
        <v>18000</v>
      </c>
      <c r="E19" s="12">
        <f t="shared" ref="E19" si="17">SUM(E20:E21)</f>
        <v>14000</v>
      </c>
      <c r="F19" s="59">
        <f t="shared" ref="F19:I19" si="18">SUM(F20:F21)</f>
        <v>0</v>
      </c>
      <c r="G19" s="59">
        <f t="shared" si="18"/>
        <v>0</v>
      </c>
      <c r="H19" s="59">
        <f t="shared" si="18"/>
        <v>0</v>
      </c>
      <c r="I19" s="41">
        <f t="shared" si="18"/>
        <v>32000</v>
      </c>
    </row>
    <row r="20" spans="1:9" x14ac:dyDescent="0.25">
      <c r="A20" s="25"/>
      <c r="B20" s="4" t="s">
        <v>18</v>
      </c>
      <c r="C20" s="26">
        <v>2</v>
      </c>
      <c r="D20" s="27">
        <v>18000</v>
      </c>
      <c r="E20" s="8">
        <v>14000</v>
      </c>
      <c r="F20" s="8"/>
      <c r="G20" s="8"/>
      <c r="H20" s="8"/>
      <c r="I20" s="27">
        <f>SUM(D20:H20)</f>
        <v>32000</v>
      </c>
    </row>
    <row r="21" spans="1:9" x14ac:dyDescent="0.25">
      <c r="A21" s="25"/>
      <c r="B21" s="4" t="s">
        <v>19</v>
      </c>
      <c r="C21" s="26"/>
      <c r="D21" s="27"/>
      <c r="E21" s="8"/>
      <c r="F21" s="8"/>
      <c r="G21" s="8"/>
      <c r="H21" s="8"/>
      <c r="I21" s="27">
        <f>SUM(D21:H21)</f>
        <v>0</v>
      </c>
    </row>
    <row r="22" spans="1:9" x14ac:dyDescent="0.25">
      <c r="A22" s="28">
        <v>4</v>
      </c>
      <c r="B22" s="31" t="s">
        <v>24</v>
      </c>
      <c r="C22" s="29">
        <f>C23</f>
        <v>8</v>
      </c>
      <c r="D22" s="30">
        <f>SUM(D23:D24)</f>
        <v>85000</v>
      </c>
      <c r="E22" s="11">
        <f t="shared" ref="E22" si="19">SUM(E23:E24)</f>
        <v>100000</v>
      </c>
      <c r="F22" s="59">
        <f t="shared" ref="F22:I22" si="20">SUM(F23:F24)</f>
        <v>0</v>
      </c>
      <c r="G22" s="59">
        <f t="shared" si="20"/>
        <v>0</v>
      </c>
      <c r="H22" s="59">
        <f t="shared" si="20"/>
        <v>0</v>
      </c>
      <c r="I22" s="41">
        <f t="shared" si="20"/>
        <v>185000</v>
      </c>
    </row>
    <row r="23" spans="1:9" x14ac:dyDescent="0.25">
      <c r="A23" s="25"/>
      <c r="B23" s="4" t="s">
        <v>18</v>
      </c>
      <c r="C23" s="26">
        <v>8</v>
      </c>
      <c r="D23" s="27">
        <v>85000</v>
      </c>
      <c r="E23" s="9">
        <v>100000</v>
      </c>
      <c r="F23" s="8"/>
      <c r="G23" s="8"/>
      <c r="H23" s="8"/>
      <c r="I23" s="41">
        <f>SUM(D23:H23)</f>
        <v>185000</v>
      </c>
    </row>
    <row r="24" spans="1:9" x14ac:dyDescent="0.25">
      <c r="A24" s="25"/>
      <c r="B24" s="4" t="s">
        <v>19</v>
      </c>
      <c r="C24" s="26"/>
      <c r="D24" s="27"/>
      <c r="E24" s="8"/>
      <c r="F24" s="8"/>
      <c r="G24" s="8"/>
      <c r="H24" s="8"/>
      <c r="I24" s="41">
        <f>SUM(D24:H24)</f>
        <v>0</v>
      </c>
    </row>
    <row r="25" spans="1:9" x14ac:dyDescent="0.25">
      <c r="A25" s="37">
        <v>5</v>
      </c>
      <c r="B25" s="18" t="s">
        <v>46</v>
      </c>
      <c r="C25" s="29">
        <f>C26</f>
        <v>25</v>
      </c>
      <c r="D25" s="30">
        <f>SUM(D26:D27)</f>
        <v>233000</v>
      </c>
      <c r="E25" s="11">
        <f>SUM(E26:E27)</f>
        <v>100000</v>
      </c>
      <c r="F25" s="59">
        <f t="shared" ref="F25:I25" si="21">SUM(F26:F27)</f>
        <v>0</v>
      </c>
      <c r="G25" s="59">
        <f t="shared" si="21"/>
        <v>0</v>
      </c>
      <c r="H25" s="59">
        <f t="shared" si="21"/>
        <v>4071454</v>
      </c>
      <c r="I25" s="41">
        <f t="shared" si="21"/>
        <v>4404454</v>
      </c>
    </row>
    <row r="26" spans="1:9" x14ac:dyDescent="0.25">
      <c r="A26" s="25"/>
      <c r="B26" s="4" t="s">
        <v>18</v>
      </c>
      <c r="C26" s="3">
        <v>25</v>
      </c>
      <c r="D26" s="27">
        <v>233000</v>
      </c>
      <c r="E26" s="9">
        <v>90000</v>
      </c>
      <c r="F26" s="8"/>
      <c r="G26" s="8"/>
      <c r="H26" s="9">
        <f>3335375-44955</f>
        <v>3290420</v>
      </c>
      <c r="I26" s="61">
        <f>SUM(D26:H26)</f>
        <v>3613420</v>
      </c>
    </row>
    <row r="27" spans="1:9" x14ac:dyDescent="0.25">
      <c r="A27" s="25"/>
      <c r="B27" s="4" t="s">
        <v>19</v>
      </c>
      <c r="C27" s="26"/>
      <c r="D27" s="27"/>
      <c r="E27" s="8">
        <v>10000</v>
      </c>
      <c r="F27" s="8"/>
      <c r="G27" s="8"/>
      <c r="H27" s="9">
        <v>781034</v>
      </c>
      <c r="I27" s="61">
        <f>SUM(D27:H27)</f>
        <v>791034</v>
      </c>
    </row>
    <row r="28" spans="1:9" ht="33.75" x14ac:dyDescent="0.25">
      <c r="A28" s="28">
        <v>6</v>
      </c>
      <c r="B28" s="31" t="s">
        <v>25</v>
      </c>
      <c r="C28" s="29">
        <f>C29+C30</f>
        <v>34</v>
      </c>
      <c r="D28" s="30">
        <f>D29+D30</f>
        <v>363000</v>
      </c>
      <c r="E28" s="11">
        <f>E29+E30</f>
        <v>1183105</v>
      </c>
      <c r="F28" s="59">
        <f t="shared" ref="F28:I28" si="22">F29+F30</f>
        <v>209175</v>
      </c>
      <c r="G28" s="59">
        <f t="shared" si="22"/>
        <v>0</v>
      </c>
      <c r="H28" s="59">
        <f t="shared" si="22"/>
        <v>0</v>
      </c>
      <c r="I28" s="41">
        <f t="shared" si="22"/>
        <v>1755280</v>
      </c>
    </row>
    <row r="29" spans="1:9" x14ac:dyDescent="0.25">
      <c r="A29" s="25"/>
      <c r="B29" s="4" t="s">
        <v>18</v>
      </c>
      <c r="C29" s="26">
        <f>C32+C35</f>
        <v>34</v>
      </c>
      <c r="D29" s="27">
        <f>D32+D35</f>
        <v>363000</v>
      </c>
      <c r="E29" s="27">
        <f>E32+E35</f>
        <v>1043105</v>
      </c>
      <c r="F29" s="8">
        <f>F32+F35</f>
        <v>209175</v>
      </c>
      <c r="G29" s="8">
        <f t="shared" ref="G29:H30" si="23">G32+G35</f>
        <v>0</v>
      </c>
      <c r="H29" s="8">
        <f t="shared" si="23"/>
        <v>0</v>
      </c>
      <c r="I29" s="27">
        <f t="shared" ref="F29:I30" si="24">I32+I35</f>
        <v>1615280</v>
      </c>
    </row>
    <row r="30" spans="1:9" x14ac:dyDescent="0.25">
      <c r="A30" s="25"/>
      <c r="B30" s="4" t="s">
        <v>19</v>
      </c>
      <c r="C30" s="26"/>
      <c r="D30" s="27">
        <f>D33+D36</f>
        <v>0</v>
      </c>
      <c r="E30" s="8">
        <f>E33+E36</f>
        <v>140000</v>
      </c>
      <c r="F30" s="8">
        <f t="shared" si="24"/>
        <v>0</v>
      </c>
      <c r="G30" s="8">
        <f t="shared" si="23"/>
        <v>0</v>
      </c>
      <c r="H30" s="8">
        <f t="shared" si="23"/>
        <v>0</v>
      </c>
      <c r="I30" s="27">
        <f t="shared" si="24"/>
        <v>140000</v>
      </c>
    </row>
    <row r="31" spans="1:9" x14ac:dyDescent="0.25">
      <c r="A31" s="22" t="s">
        <v>36</v>
      </c>
      <c r="B31" s="33" t="s">
        <v>26</v>
      </c>
      <c r="C31" s="34">
        <f>C32+C33</f>
        <v>7</v>
      </c>
      <c r="D31" s="35">
        <f>SUM(D32:D33)</f>
        <v>68000</v>
      </c>
      <c r="E31" s="12">
        <f t="shared" ref="E31" si="25">SUM(E32:E33)</f>
        <v>1163105</v>
      </c>
      <c r="F31" s="59">
        <f t="shared" ref="F31:I31" si="26">SUM(F32:F33)</f>
        <v>204175</v>
      </c>
      <c r="G31" s="59">
        <f t="shared" si="26"/>
        <v>0</v>
      </c>
      <c r="H31" s="59">
        <f t="shared" si="26"/>
        <v>0</v>
      </c>
      <c r="I31" s="41">
        <f t="shared" si="26"/>
        <v>1435280</v>
      </c>
    </row>
    <row r="32" spans="1:9" x14ac:dyDescent="0.25">
      <c r="A32" s="25"/>
      <c r="B32" s="4" t="s">
        <v>18</v>
      </c>
      <c r="C32" s="3">
        <v>7</v>
      </c>
      <c r="D32" s="27">
        <v>68000</v>
      </c>
      <c r="E32" s="9">
        <f>1023105</f>
        <v>1023105</v>
      </c>
      <c r="F32" s="8">
        <f>175000+29175</f>
        <v>204175</v>
      </c>
      <c r="G32" s="8"/>
      <c r="H32" s="8"/>
      <c r="I32" s="41">
        <f>SUM(D32:H32)</f>
        <v>1295280</v>
      </c>
    </row>
    <row r="33" spans="1:9" x14ac:dyDescent="0.25">
      <c r="A33" s="25"/>
      <c r="B33" s="4" t="s">
        <v>19</v>
      </c>
      <c r="C33" s="26"/>
      <c r="D33" s="27"/>
      <c r="E33" s="8">
        <v>140000</v>
      </c>
      <c r="F33" s="8"/>
      <c r="G33" s="8"/>
      <c r="H33" s="8"/>
      <c r="I33" s="41">
        <f>SUM(D33:H33)</f>
        <v>140000</v>
      </c>
    </row>
    <row r="34" spans="1:9" x14ac:dyDescent="0.25">
      <c r="A34" s="22" t="s">
        <v>37</v>
      </c>
      <c r="B34" s="33" t="s">
        <v>27</v>
      </c>
      <c r="C34" s="34">
        <f>C35+C36</f>
        <v>27</v>
      </c>
      <c r="D34" s="35">
        <f>SUM(D35:D36)</f>
        <v>295000</v>
      </c>
      <c r="E34" s="12">
        <f t="shared" ref="E34" si="27">SUM(E35:E36)</f>
        <v>20000</v>
      </c>
      <c r="F34" s="59">
        <f t="shared" ref="F34:I34" si="28">SUM(F35:F36)</f>
        <v>5000</v>
      </c>
      <c r="G34" s="59">
        <f t="shared" si="28"/>
        <v>0</v>
      </c>
      <c r="H34" s="59">
        <f t="shared" si="28"/>
        <v>0</v>
      </c>
      <c r="I34" s="41">
        <f t="shared" si="28"/>
        <v>320000</v>
      </c>
    </row>
    <row r="35" spans="1:9" x14ac:dyDescent="0.25">
      <c r="A35" s="25"/>
      <c r="B35" s="4" t="s">
        <v>18</v>
      </c>
      <c r="C35" s="26">
        <v>27</v>
      </c>
      <c r="D35" s="7">
        <v>295000</v>
      </c>
      <c r="E35" s="8">
        <v>20000</v>
      </c>
      <c r="F35" s="8">
        <v>5000</v>
      </c>
      <c r="G35" s="8"/>
      <c r="H35" s="8"/>
      <c r="I35" s="41">
        <f>SUM(D35:H35)</f>
        <v>320000</v>
      </c>
    </row>
    <row r="36" spans="1:9" x14ac:dyDescent="0.25">
      <c r="A36" s="25"/>
      <c r="B36" s="4" t="s">
        <v>19</v>
      </c>
      <c r="C36" s="26"/>
      <c r="D36" s="27"/>
      <c r="E36" s="8"/>
      <c r="F36" s="8"/>
      <c r="G36" s="8"/>
      <c r="H36" s="8"/>
      <c r="I36" s="41">
        <f>SUM(D36:H36)</f>
        <v>0</v>
      </c>
    </row>
    <row r="37" spans="1:9" x14ac:dyDescent="0.25">
      <c r="A37" s="37">
        <v>7</v>
      </c>
      <c r="B37" s="31" t="s">
        <v>43</v>
      </c>
      <c r="C37" s="29">
        <f>C38</f>
        <v>3</v>
      </c>
      <c r="D37" s="30">
        <f>SUM(D38:D39)</f>
        <v>32000</v>
      </c>
      <c r="E37" s="11">
        <f t="shared" ref="E37" si="29">SUM(E38:E39)</f>
        <v>1000</v>
      </c>
      <c r="F37" s="59">
        <f t="shared" ref="F37:I37" si="30">SUM(F38:F39)</f>
        <v>0</v>
      </c>
      <c r="G37" s="59">
        <f t="shared" si="30"/>
        <v>0</v>
      </c>
      <c r="H37" s="59">
        <f t="shared" si="30"/>
        <v>0</v>
      </c>
      <c r="I37" s="41">
        <f t="shared" si="30"/>
        <v>33000</v>
      </c>
    </row>
    <row r="38" spans="1:9" x14ac:dyDescent="0.25">
      <c r="A38" s="25"/>
      <c r="B38" s="4" t="s">
        <v>18</v>
      </c>
      <c r="C38" s="26">
        <v>3</v>
      </c>
      <c r="D38" s="27">
        <v>32000</v>
      </c>
      <c r="E38" s="8">
        <f>2000-1000</f>
        <v>1000</v>
      </c>
      <c r="F38" s="8"/>
      <c r="G38" s="8"/>
      <c r="H38" s="8"/>
      <c r="I38" s="41">
        <f>SUM(D38:H38)</f>
        <v>33000</v>
      </c>
    </row>
    <row r="39" spans="1:9" x14ac:dyDescent="0.25">
      <c r="A39" s="25"/>
      <c r="B39" s="4" t="s">
        <v>19</v>
      </c>
      <c r="C39" s="26"/>
      <c r="D39" s="27"/>
      <c r="E39" s="8"/>
      <c r="F39" s="8"/>
      <c r="G39" s="8"/>
      <c r="H39" s="8"/>
      <c r="I39" s="41">
        <f>SUM(D39:H39)</f>
        <v>0</v>
      </c>
    </row>
    <row r="40" spans="1:9" x14ac:dyDescent="0.25">
      <c r="A40" s="28">
        <v>8</v>
      </c>
      <c r="B40" s="18" t="s">
        <v>38</v>
      </c>
      <c r="C40" s="29">
        <f>C41</f>
        <v>6</v>
      </c>
      <c r="D40" s="30">
        <f>SUM(D41:D42)</f>
        <v>70000</v>
      </c>
      <c r="E40" s="11">
        <f t="shared" ref="E40" si="31">SUM(E41:E42)</f>
        <v>20000</v>
      </c>
      <c r="F40" s="59">
        <f t="shared" ref="F40" si="32">SUM(F41:F42)</f>
        <v>0</v>
      </c>
      <c r="G40" s="59">
        <f>SUM(G41:G42)</f>
        <v>370000</v>
      </c>
      <c r="H40" s="59">
        <f t="shared" ref="H40:I40" si="33">SUM(H41:H42)</f>
        <v>0</v>
      </c>
      <c r="I40" s="41">
        <f t="shared" si="33"/>
        <v>460000</v>
      </c>
    </row>
    <row r="41" spans="1:9" x14ac:dyDescent="0.25">
      <c r="A41" s="25"/>
      <c r="B41" s="4" t="s">
        <v>18</v>
      </c>
      <c r="C41" s="3">
        <v>6</v>
      </c>
      <c r="D41" s="27">
        <v>70000</v>
      </c>
      <c r="E41" s="8">
        <f>20000</f>
        <v>20000</v>
      </c>
      <c r="F41" s="8"/>
      <c r="G41" s="9">
        <v>270000</v>
      </c>
      <c r="H41" s="8"/>
      <c r="I41" s="61">
        <f>SUM(D41:H41)</f>
        <v>360000</v>
      </c>
    </row>
    <row r="42" spans="1:9" x14ac:dyDescent="0.25">
      <c r="A42" s="25"/>
      <c r="B42" s="4" t="s">
        <v>19</v>
      </c>
      <c r="C42" s="26"/>
      <c r="D42" s="27"/>
      <c r="E42" s="8"/>
      <c r="F42" s="8"/>
      <c r="G42" s="9">
        <v>100000</v>
      </c>
      <c r="H42" s="8"/>
      <c r="I42" s="61">
        <f>SUM(D42:H42)</f>
        <v>100000</v>
      </c>
    </row>
    <row r="43" spans="1:9" x14ac:dyDescent="0.25">
      <c r="A43" s="37">
        <v>9</v>
      </c>
      <c r="B43" s="18" t="s">
        <v>39</v>
      </c>
      <c r="C43" s="29">
        <f>C44</f>
        <v>8</v>
      </c>
      <c r="D43" s="30">
        <f>SUM(D44:D45)</f>
        <v>70000</v>
      </c>
      <c r="E43" s="11">
        <f>SUM(E44:E45)</f>
        <v>20000</v>
      </c>
      <c r="F43" s="59">
        <f t="shared" ref="F43:H43" si="34">SUM(F44:F45)</f>
        <v>0</v>
      </c>
      <c r="G43" s="59">
        <f t="shared" si="34"/>
        <v>0</v>
      </c>
      <c r="H43" s="59">
        <f t="shared" si="34"/>
        <v>0</v>
      </c>
      <c r="I43" s="41">
        <f>SUM(I44:I45)</f>
        <v>90000</v>
      </c>
    </row>
    <row r="44" spans="1:9" x14ac:dyDescent="0.25">
      <c r="A44" s="25"/>
      <c r="B44" s="4" t="s">
        <v>18</v>
      </c>
      <c r="C44" s="26">
        <v>8</v>
      </c>
      <c r="D44" s="27">
        <v>70000</v>
      </c>
      <c r="E44" s="8">
        <v>20000</v>
      </c>
      <c r="F44" s="8"/>
      <c r="G44" s="8"/>
      <c r="H44" s="8"/>
      <c r="I44" s="41">
        <f>SUM(D44:H44)</f>
        <v>90000</v>
      </c>
    </row>
    <row r="45" spans="1:9" x14ac:dyDescent="0.25">
      <c r="A45" s="25"/>
      <c r="B45" s="4" t="s">
        <v>19</v>
      </c>
      <c r="C45" s="26"/>
      <c r="D45" s="27"/>
      <c r="E45" s="8"/>
      <c r="F45" s="8"/>
      <c r="G45" s="8"/>
      <c r="H45" s="8"/>
      <c r="I45" s="41">
        <f>SUM(D45:H45)</f>
        <v>0</v>
      </c>
    </row>
    <row r="46" spans="1:9" x14ac:dyDescent="0.25">
      <c r="A46" s="37">
        <v>10</v>
      </c>
      <c r="B46" s="18" t="s">
        <v>45</v>
      </c>
      <c r="C46" s="29">
        <f>SUM(C47:C48)</f>
        <v>5</v>
      </c>
      <c r="D46" s="30">
        <f>SUM(D47:D48)</f>
        <v>58000</v>
      </c>
      <c r="E46" s="11">
        <f t="shared" ref="E46" si="35">SUM(E47:E48)</f>
        <v>20000</v>
      </c>
      <c r="F46" s="59">
        <f t="shared" ref="F46:I46" si="36">SUM(F47:F48)</f>
        <v>0</v>
      </c>
      <c r="G46" s="59">
        <f t="shared" si="36"/>
        <v>0</v>
      </c>
      <c r="H46" s="59">
        <f t="shared" si="36"/>
        <v>0</v>
      </c>
      <c r="I46" s="41">
        <f t="shared" si="36"/>
        <v>78000</v>
      </c>
    </row>
    <row r="47" spans="1:9" x14ac:dyDescent="0.25">
      <c r="A47" s="25"/>
      <c r="B47" s="4" t="s">
        <v>18</v>
      </c>
      <c r="C47" s="26">
        <v>5</v>
      </c>
      <c r="D47" s="27">
        <v>58000</v>
      </c>
      <c r="E47" s="8">
        <v>20000</v>
      </c>
      <c r="F47" s="8"/>
      <c r="G47" s="8"/>
      <c r="H47" s="8"/>
      <c r="I47" s="41">
        <f>SUM(D47:H47)</f>
        <v>78000</v>
      </c>
    </row>
    <row r="48" spans="1:9" x14ac:dyDescent="0.25">
      <c r="A48" s="25"/>
      <c r="B48" s="4" t="s">
        <v>19</v>
      </c>
      <c r="C48" s="26"/>
      <c r="D48" s="27"/>
      <c r="E48" s="8"/>
      <c r="F48" s="8"/>
      <c r="G48" s="8"/>
      <c r="H48" s="8"/>
      <c r="I48" s="41">
        <f>SUM(D48:H48)</f>
        <v>0</v>
      </c>
    </row>
    <row r="49" spans="1:9" ht="22.5" x14ac:dyDescent="0.25">
      <c r="A49" s="28">
        <v>11</v>
      </c>
      <c r="B49" s="31" t="s">
        <v>28</v>
      </c>
      <c r="C49" s="29">
        <f>C50+C51</f>
        <v>145</v>
      </c>
      <c r="D49" s="30">
        <f>D50+D51</f>
        <v>1399310</v>
      </c>
      <c r="E49" s="11">
        <f t="shared" ref="E49" si="37">E50+E51</f>
        <v>902000</v>
      </c>
      <c r="F49" s="59">
        <f t="shared" ref="F49:G49" si="38">F50+F51</f>
        <v>40000</v>
      </c>
      <c r="G49" s="59">
        <f t="shared" si="38"/>
        <v>0</v>
      </c>
      <c r="H49" s="59">
        <f>H50+H51</f>
        <v>50000</v>
      </c>
      <c r="I49" s="41">
        <f>I50+I51</f>
        <v>2391310</v>
      </c>
    </row>
    <row r="50" spans="1:9" x14ac:dyDescent="0.25">
      <c r="A50" s="25"/>
      <c r="B50" s="4" t="s">
        <v>18</v>
      </c>
      <c r="C50" s="26">
        <f>C53+C56</f>
        <v>145</v>
      </c>
      <c r="D50" s="27">
        <f>D53+D56</f>
        <v>1399310</v>
      </c>
      <c r="E50" s="27">
        <f>E53+E56</f>
        <v>802000</v>
      </c>
      <c r="F50" s="8">
        <f>F53+F56</f>
        <v>40000</v>
      </c>
      <c r="G50" s="8">
        <f t="shared" ref="G50:G51" si="39">G53+G56</f>
        <v>0</v>
      </c>
      <c r="H50" s="8">
        <f>H53+H56</f>
        <v>20000</v>
      </c>
      <c r="I50" s="27">
        <f>I53+I56</f>
        <v>2261310</v>
      </c>
    </row>
    <row r="51" spans="1:9" x14ac:dyDescent="0.25">
      <c r="A51" s="25"/>
      <c r="B51" s="4" t="s">
        <v>19</v>
      </c>
      <c r="C51" s="26"/>
      <c r="D51" s="27">
        <f>D54+D57</f>
        <v>0</v>
      </c>
      <c r="E51" s="27">
        <f>E54+E57</f>
        <v>100000</v>
      </c>
      <c r="F51" s="8">
        <f t="shared" ref="F51" si="40">F54+F57</f>
        <v>0</v>
      </c>
      <c r="G51" s="8">
        <f t="shared" si="39"/>
        <v>0</v>
      </c>
      <c r="H51" s="8">
        <f>H54+H57</f>
        <v>30000</v>
      </c>
      <c r="I51" s="27">
        <f>I54+I57</f>
        <v>130000</v>
      </c>
    </row>
    <row r="52" spans="1:9" x14ac:dyDescent="0.25">
      <c r="A52" s="25" t="s">
        <v>40</v>
      </c>
      <c r="B52" s="38" t="s">
        <v>29</v>
      </c>
      <c r="C52" s="40">
        <f>C53</f>
        <v>3</v>
      </c>
      <c r="D52" s="41">
        <f>SUM(D53:D54)</f>
        <v>30000</v>
      </c>
      <c r="E52" s="44">
        <f t="shared" ref="E52" si="41">SUM(E53:E54)</f>
        <v>2000</v>
      </c>
      <c r="F52" s="44">
        <f t="shared" ref="F52:I52" si="42">SUM(F53:F54)</f>
        <v>0</v>
      </c>
      <c r="G52" s="44">
        <f t="shared" si="42"/>
        <v>0</v>
      </c>
      <c r="H52" s="44">
        <f t="shared" si="42"/>
        <v>0</v>
      </c>
      <c r="I52" s="41">
        <f t="shared" si="42"/>
        <v>32000</v>
      </c>
    </row>
    <row r="53" spans="1:9" x14ac:dyDescent="0.25">
      <c r="A53" s="25"/>
      <c r="B53" s="4" t="s">
        <v>18</v>
      </c>
      <c r="C53" s="26">
        <v>3</v>
      </c>
      <c r="D53" s="27">
        <v>30000</v>
      </c>
      <c r="E53" s="8">
        <v>2000</v>
      </c>
      <c r="F53" s="8"/>
      <c r="G53" s="8"/>
      <c r="H53" s="8"/>
      <c r="I53" s="27">
        <f>SUM(D53:H53)</f>
        <v>32000</v>
      </c>
    </row>
    <row r="54" spans="1:9" x14ac:dyDescent="0.25">
      <c r="A54" s="25"/>
      <c r="B54" s="4" t="s">
        <v>19</v>
      </c>
      <c r="C54" s="26"/>
      <c r="D54" s="27"/>
      <c r="E54" s="8"/>
      <c r="F54" s="8"/>
      <c r="G54" s="8"/>
      <c r="H54" s="8"/>
      <c r="I54" s="41">
        <f>SUM(D54:H54)</f>
        <v>0</v>
      </c>
    </row>
    <row r="55" spans="1:9" x14ac:dyDescent="0.25">
      <c r="A55" s="25" t="s">
        <v>41</v>
      </c>
      <c r="B55" s="38" t="s">
        <v>30</v>
      </c>
      <c r="C55" s="34">
        <f>C56</f>
        <v>142</v>
      </c>
      <c r="D55" s="35">
        <f>SUM(D56:D57)</f>
        <v>1369310</v>
      </c>
      <c r="E55" s="12">
        <f t="shared" ref="E55" si="43">SUM(E56:E57)</f>
        <v>900000</v>
      </c>
      <c r="F55" s="59">
        <f t="shared" ref="F55:H55" si="44">SUM(F56:F57)</f>
        <v>40000</v>
      </c>
      <c r="G55" s="59">
        <f t="shared" si="44"/>
        <v>0</v>
      </c>
      <c r="H55" s="59">
        <f t="shared" si="44"/>
        <v>50000</v>
      </c>
      <c r="I55" s="41">
        <f>SUM(I56:I57)</f>
        <v>2359310</v>
      </c>
    </row>
    <row r="56" spans="1:9" x14ac:dyDescent="0.25">
      <c r="A56" s="25"/>
      <c r="B56" s="4" t="s">
        <v>18</v>
      </c>
      <c r="C56" s="26">
        <f>142</f>
        <v>142</v>
      </c>
      <c r="D56" s="27">
        <f>1339536+101774-72000</f>
        <v>1369310</v>
      </c>
      <c r="E56" s="7">
        <v>800000</v>
      </c>
      <c r="F56" s="8">
        <v>40000</v>
      </c>
      <c r="G56" s="8"/>
      <c r="H56" s="8">
        <v>20000</v>
      </c>
      <c r="I56" s="41">
        <f>SUM(D56:H56)</f>
        <v>2229310</v>
      </c>
    </row>
    <row r="57" spans="1:9" x14ac:dyDescent="0.25">
      <c r="A57" s="25"/>
      <c r="B57" s="4" t="s">
        <v>19</v>
      </c>
      <c r="C57" s="26"/>
      <c r="D57" s="27"/>
      <c r="E57" s="7">
        <v>100000</v>
      </c>
      <c r="F57" s="8"/>
      <c r="G57" s="8"/>
      <c r="H57" s="8">
        <v>30000</v>
      </c>
      <c r="I57" s="41">
        <f>SUM(D57:H57)</f>
        <v>130000</v>
      </c>
    </row>
    <row r="58" spans="1:9" x14ac:dyDescent="0.25">
      <c r="A58" s="25">
        <v>12</v>
      </c>
      <c r="B58" s="39" t="s">
        <v>31</v>
      </c>
      <c r="C58" s="26">
        <f>C59</f>
        <v>15</v>
      </c>
      <c r="D58" s="35">
        <f>D59+D60</f>
        <v>144890</v>
      </c>
      <c r="E58" s="12">
        <f t="shared" ref="E58" si="45">E59+E60</f>
        <v>65000</v>
      </c>
      <c r="F58" s="59">
        <f t="shared" ref="F58:I58" si="46">F59+F60</f>
        <v>5000</v>
      </c>
      <c r="G58" s="59">
        <f t="shared" si="46"/>
        <v>70000</v>
      </c>
      <c r="H58" s="59">
        <f t="shared" si="46"/>
        <v>95000</v>
      </c>
      <c r="I58" s="41">
        <f t="shared" si="46"/>
        <v>379890</v>
      </c>
    </row>
    <row r="59" spans="1:9" x14ac:dyDescent="0.25">
      <c r="A59" s="25"/>
      <c r="B59" s="4" t="s">
        <v>18</v>
      </c>
      <c r="C59" s="26">
        <v>15</v>
      </c>
      <c r="D59" s="32">
        <f>164890-20000</f>
        <v>144890</v>
      </c>
      <c r="E59" s="9">
        <v>65000</v>
      </c>
      <c r="F59" s="9">
        <v>5000</v>
      </c>
      <c r="G59" s="9">
        <v>50000</v>
      </c>
      <c r="H59" s="9">
        <v>95000</v>
      </c>
      <c r="I59" s="41">
        <f>SUM(D59:H59)</f>
        <v>359890</v>
      </c>
    </row>
    <row r="60" spans="1:9" x14ac:dyDescent="0.25">
      <c r="A60" s="25"/>
      <c r="B60" s="4" t="s">
        <v>19</v>
      </c>
      <c r="C60" s="26"/>
      <c r="D60" s="27"/>
      <c r="E60" s="8"/>
      <c r="F60" s="8"/>
      <c r="G60" s="9">
        <v>20000</v>
      </c>
      <c r="H60" s="8"/>
      <c r="I60" s="41">
        <f>SUM(D60:H60)</f>
        <v>20000</v>
      </c>
    </row>
    <row r="61" spans="1:9" x14ac:dyDescent="0.25">
      <c r="A61" s="37">
        <v>13</v>
      </c>
      <c r="B61" s="18" t="s">
        <v>32</v>
      </c>
      <c r="C61" s="29">
        <f>C62</f>
        <v>12</v>
      </c>
      <c r="D61" s="30">
        <f>SUM(D62:D63)</f>
        <v>106460</v>
      </c>
      <c r="E61" s="11">
        <f t="shared" ref="E61" si="47">SUM(E62:E63)</f>
        <v>70000</v>
      </c>
      <c r="F61" s="59">
        <f t="shared" ref="F61:I61" si="48">SUM(F62:F63)</f>
        <v>0</v>
      </c>
      <c r="G61" s="59">
        <f t="shared" si="48"/>
        <v>170000</v>
      </c>
      <c r="H61" s="59">
        <f t="shared" si="48"/>
        <v>0</v>
      </c>
      <c r="I61" s="41">
        <f t="shared" si="48"/>
        <v>346460</v>
      </c>
    </row>
    <row r="62" spans="1:9" x14ac:dyDescent="0.25">
      <c r="A62" s="25"/>
      <c r="B62" s="4" t="s">
        <v>18</v>
      </c>
      <c r="C62" s="3">
        <v>12</v>
      </c>
      <c r="D62" s="27">
        <v>106460</v>
      </c>
      <c r="E62" s="8">
        <v>50000</v>
      </c>
      <c r="F62" s="8"/>
      <c r="G62" s="8">
        <v>120000</v>
      </c>
      <c r="H62" s="8"/>
      <c r="I62" s="61">
        <f>SUM(D62:H62)</f>
        <v>276460</v>
      </c>
    </row>
    <row r="63" spans="1:9" x14ac:dyDescent="0.25">
      <c r="A63" s="25"/>
      <c r="B63" s="4" t="s">
        <v>19</v>
      </c>
      <c r="C63" s="26"/>
      <c r="D63" s="27"/>
      <c r="E63" s="8">
        <v>20000</v>
      </c>
      <c r="F63" s="8"/>
      <c r="G63" s="8">
        <v>50000</v>
      </c>
      <c r="H63" s="8"/>
      <c r="I63" s="61">
        <f>SUM(D63:H63)</f>
        <v>70000</v>
      </c>
    </row>
    <row r="64" spans="1:9" x14ac:dyDescent="0.25">
      <c r="A64" s="28">
        <v>14</v>
      </c>
      <c r="B64" s="31" t="s">
        <v>47</v>
      </c>
      <c r="C64" s="29">
        <f>C65</f>
        <v>823</v>
      </c>
      <c r="D64" s="30">
        <f>D65+D66</f>
        <v>7478094</v>
      </c>
      <c r="E64" s="65">
        <f t="shared" ref="E64" si="49">E65+E66</f>
        <v>549000</v>
      </c>
      <c r="F64" s="59">
        <f t="shared" ref="F64:G64" si="50">F65+F66</f>
        <v>75000</v>
      </c>
      <c r="G64" s="59">
        <f t="shared" si="50"/>
        <v>0</v>
      </c>
      <c r="H64" s="59">
        <f>H65+H66</f>
        <v>50000</v>
      </c>
      <c r="I64" s="41">
        <f t="shared" ref="I64" si="51">I65+I66</f>
        <v>8152094</v>
      </c>
    </row>
    <row r="65" spans="1:9" x14ac:dyDescent="0.25">
      <c r="A65" s="25"/>
      <c r="B65" s="4" t="s">
        <v>18</v>
      </c>
      <c r="C65" s="26">
        <f>C68+C71+C74+C77</f>
        <v>823</v>
      </c>
      <c r="D65" s="27">
        <f>D68+D71+D74+D77</f>
        <v>7478094</v>
      </c>
      <c r="E65" s="7">
        <f>E68+E71+E74+E77</f>
        <v>469000</v>
      </c>
      <c r="F65" s="7">
        <f t="shared" ref="F65:H66" si="52">F68+F71+F74+F77</f>
        <v>75000</v>
      </c>
      <c r="G65" s="7">
        <f t="shared" si="52"/>
        <v>0</v>
      </c>
      <c r="H65" s="7">
        <f>H68+H71+H74+H77</f>
        <v>20000</v>
      </c>
      <c r="I65" s="27">
        <f t="shared" ref="I65" si="53">I68+I71+I74+I77</f>
        <v>8042094</v>
      </c>
    </row>
    <row r="66" spans="1:9" x14ac:dyDescent="0.25">
      <c r="A66" s="25"/>
      <c r="B66" s="4" t="s">
        <v>19</v>
      </c>
      <c r="C66" s="26"/>
      <c r="D66" s="27">
        <f>D69+D72+D75+D78</f>
        <v>0</v>
      </c>
      <c r="E66" s="7">
        <f>E69+E72+E75+E78</f>
        <v>80000</v>
      </c>
      <c r="F66" s="7">
        <f t="shared" si="52"/>
        <v>0</v>
      </c>
      <c r="G66" s="7">
        <f t="shared" si="52"/>
        <v>0</v>
      </c>
      <c r="H66" s="7">
        <f t="shared" si="52"/>
        <v>30000</v>
      </c>
      <c r="I66" s="27">
        <f>H66+G66+F66+E66+D66</f>
        <v>110000</v>
      </c>
    </row>
    <row r="67" spans="1:9" x14ac:dyDescent="0.25">
      <c r="A67" s="25">
        <v>14.1</v>
      </c>
      <c r="B67" s="38" t="s">
        <v>29</v>
      </c>
      <c r="C67" s="34">
        <f>C68</f>
        <v>11</v>
      </c>
      <c r="D67" s="35">
        <f>SUM(D68:D69)</f>
        <v>91000</v>
      </c>
      <c r="E67" s="13">
        <f t="shared" ref="E67" si="54">SUM(E68:E69)</f>
        <v>23000</v>
      </c>
      <c r="F67" s="43">
        <f t="shared" ref="F67:I67" si="55">SUM(F68:F69)</f>
        <v>75000</v>
      </c>
      <c r="G67" s="43">
        <f t="shared" si="55"/>
        <v>0</v>
      </c>
      <c r="H67" s="43">
        <f t="shared" si="55"/>
        <v>0</v>
      </c>
      <c r="I67" s="41">
        <f t="shared" si="55"/>
        <v>189000</v>
      </c>
    </row>
    <row r="68" spans="1:9" x14ac:dyDescent="0.25">
      <c r="A68" s="25"/>
      <c r="B68" s="4" t="s">
        <v>18</v>
      </c>
      <c r="C68" s="26">
        <v>11</v>
      </c>
      <c r="D68" s="27">
        <v>91000</v>
      </c>
      <c r="E68" s="7">
        <v>23000</v>
      </c>
      <c r="F68" s="7">
        <v>75000</v>
      </c>
      <c r="G68" s="7"/>
      <c r="H68" s="7"/>
      <c r="I68" s="41">
        <f>SUM(D68:H68)</f>
        <v>189000</v>
      </c>
    </row>
    <row r="69" spans="1:9" x14ac:dyDescent="0.25">
      <c r="A69" s="25"/>
      <c r="B69" s="4" t="s">
        <v>19</v>
      </c>
      <c r="C69" s="26"/>
      <c r="D69" s="27"/>
      <c r="E69" s="7"/>
      <c r="F69" s="7"/>
      <c r="G69" s="7"/>
      <c r="H69" s="7"/>
      <c r="I69" s="41">
        <f>SUM(D69:H69)</f>
        <v>0</v>
      </c>
    </row>
    <row r="70" spans="1:9" x14ac:dyDescent="0.25">
      <c r="A70" s="25">
        <v>14.2</v>
      </c>
      <c r="B70" s="38" t="s">
        <v>33</v>
      </c>
      <c r="C70" s="34">
        <f>C71</f>
        <v>34</v>
      </c>
      <c r="D70" s="35">
        <f>SUM(D71:D72)</f>
        <v>270000</v>
      </c>
      <c r="E70" s="13">
        <f t="shared" ref="E70" si="56">SUM(E71:E72)</f>
        <v>56000</v>
      </c>
      <c r="F70" s="43">
        <f t="shared" ref="F70:I70" si="57">SUM(F71:F72)</f>
        <v>0</v>
      </c>
      <c r="G70" s="43">
        <f t="shared" si="57"/>
        <v>0</v>
      </c>
      <c r="H70" s="43">
        <f t="shared" si="57"/>
        <v>0</v>
      </c>
      <c r="I70" s="41">
        <f t="shared" si="57"/>
        <v>326000</v>
      </c>
    </row>
    <row r="71" spans="1:9" x14ac:dyDescent="0.25">
      <c r="A71" s="25"/>
      <c r="B71" s="4" t="s">
        <v>18</v>
      </c>
      <c r="C71" s="26">
        <v>34</v>
      </c>
      <c r="D71" s="32">
        <v>270000</v>
      </c>
      <c r="E71" s="7">
        <v>16000</v>
      </c>
      <c r="F71" s="7"/>
      <c r="G71" s="7"/>
      <c r="H71" s="7"/>
      <c r="I71" s="41">
        <f>SUM(D71:H71)</f>
        <v>286000</v>
      </c>
    </row>
    <row r="72" spans="1:9" x14ac:dyDescent="0.25">
      <c r="A72" s="25"/>
      <c r="B72" s="4" t="s">
        <v>19</v>
      </c>
      <c r="C72" s="26"/>
      <c r="D72" s="32"/>
      <c r="E72" s="7">
        <v>40000</v>
      </c>
      <c r="F72" s="9"/>
      <c r="G72" s="9"/>
      <c r="H72" s="9"/>
      <c r="I72" s="41">
        <f>SUM(D72:H72)</f>
        <v>40000</v>
      </c>
    </row>
    <row r="73" spans="1:9" x14ac:dyDescent="0.25">
      <c r="A73" s="25">
        <v>14.3</v>
      </c>
      <c r="B73" s="38" t="s">
        <v>34</v>
      </c>
      <c r="C73" s="34">
        <f>C74+C75</f>
        <v>603</v>
      </c>
      <c r="D73" s="35">
        <f>SUM(D74:D75)</f>
        <v>5492943</v>
      </c>
      <c r="E73" s="13">
        <f t="shared" ref="E73" si="58">SUM(E74:E75)</f>
        <v>330000</v>
      </c>
      <c r="F73" s="43">
        <f t="shared" ref="F73:I73" si="59">SUM(F74:F75)</f>
        <v>0</v>
      </c>
      <c r="G73" s="43">
        <f t="shared" si="59"/>
        <v>0</v>
      </c>
      <c r="H73" s="43">
        <f t="shared" si="59"/>
        <v>0</v>
      </c>
      <c r="I73" s="41">
        <f t="shared" si="59"/>
        <v>5822943</v>
      </c>
    </row>
    <row r="74" spans="1:9" x14ac:dyDescent="0.25">
      <c r="A74" s="25"/>
      <c r="B74" s="4" t="s">
        <v>18</v>
      </c>
      <c r="C74" s="26">
        <v>603</v>
      </c>
      <c r="D74" s="32">
        <f>4906515+173+234000+257000+45255-75000+80045+44955</f>
        <v>5492943</v>
      </c>
      <c r="E74" s="7">
        <v>310000</v>
      </c>
      <c r="F74" s="7"/>
      <c r="G74" s="7"/>
      <c r="H74" s="7"/>
      <c r="I74" s="41">
        <f>SUM(D74:H74)</f>
        <v>5802943</v>
      </c>
    </row>
    <row r="75" spans="1:9" x14ac:dyDescent="0.25">
      <c r="A75" s="25"/>
      <c r="B75" s="4" t="s">
        <v>19</v>
      </c>
      <c r="C75" s="26"/>
      <c r="D75" s="27"/>
      <c r="E75" s="7">
        <v>20000</v>
      </c>
      <c r="F75" s="7"/>
      <c r="G75" s="7"/>
      <c r="H75" s="7"/>
      <c r="I75" s="41">
        <f>SUM(D75:H75)</f>
        <v>20000</v>
      </c>
    </row>
    <row r="76" spans="1:9" x14ac:dyDescent="0.25">
      <c r="A76" s="25">
        <v>14.4</v>
      </c>
      <c r="B76" s="38" t="s">
        <v>35</v>
      </c>
      <c r="C76" s="34">
        <f>C77</f>
        <v>175</v>
      </c>
      <c r="D76" s="35">
        <f>SUM(D77:D78)</f>
        <v>1624151</v>
      </c>
      <c r="E76" s="13">
        <f>SUM(E77:E78)</f>
        <v>140000</v>
      </c>
      <c r="F76" s="43">
        <f t="shared" ref="F76:I76" si="60">SUM(F77:F78)</f>
        <v>0</v>
      </c>
      <c r="G76" s="43">
        <f t="shared" si="60"/>
        <v>0</v>
      </c>
      <c r="H76" s="43">
        <f t="shared" si="60"/>
        <v>50000</v>
      </c>
      <c r="I76" s="41">
        <f t="shared" si="60"/>
        <v>1814151</v>
      </c>
    </row>
    <row r="77" spans="1:9" x14ac:dyDescent="0.25">
      <c r="A77" s="25"/>
      <c r="B77" s="4" t="s">
        <v>18</v>
      </c>
      <c r="C77" s="26">
        <v>175</v>
      </c>
      <c r="D77" s="32">
        <f>1489921+54230+80000</f>
        <v>1624151</v>
      </c>
      <c r="E77" s="7">
        <v>120000</v>
      </c>
      <c r="F77" s="7"/>
      <c r="G77" s="7"/>
      <c r="H77" s="7">
        <v>20000</v>
      </c>
      <c r="I77" s="41">
        <f>SUM(D77:H77)</f>
        <v>1764151</v>
      </c>
    </row>
    <row r="78" spans="1:9" x14ac:dyDescent="0.25">
      <c r="A78" s="25"/>
      <c r="B78" s="4" t="s">
        <v>19</v>
      </c>
      <c r="C78" s="26"/>
      <c r="D78" s="32"/>
      <c r="E78" s="7">
        <v>20000</v>
      </c>
      <c r="F78" s="7"/>
      <c r="G78" s="7"/>
      <c r="H78" s="7">
        <v>30000</v>
      </c>
      <c r="I78" s="41">
        <f>SUM(D78:H78)</f>
        <v>50000</v>
      </c>
    </row>
  </sheetData>
  <pageMargins left="0.7" right="0.7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78"/>
  <sheetViews>
    <sheetView topLeftCell="A74" workbookViewId="0">
      <selection activeCell="I95" sqref="I95"/>
    </sheetView>
  </sheetViews>
  <sheetFormatPr defaultRowHeight="15" x14ac:dyDescent="0.25"/>
  <cols>
    <col min="1" max="1" width="3.140625" customWidth="1"/>
    <col min="2" max="2" width="14.42578125" customWidth="1"/>
    <col min="4" max="4" width="12.140625" customWidth="1"/>
    <col min="5" max="5" width="11.7109375" customWidth="1"/>
    <col min="8" max="8" width="11.28515625" customWidth="1"/>
    <col min="9" max="9" width="12.7109375" customWidth="1"/>
  </cols>
  <sheetData>
    <row r="1" spans="1:9" x14ac:dyDescent="0.25">
      <c r="A1" s="15">
        <f ca="1">A1:I70</f>
        <v>0</v>
      </c>
      <c r="B1" s="16" t="s">
        <v>48</v>
      </c>
      <c r="C1" s="15"/>
      <c r="D1" s="15"/>
      <c r="E1" s="15"/>
      <c r="F1" s="15"/>
      <c r="G1" s="16"/>
      <c r="H1" s="16"/>
      <c r="I1" s="15"/>
    </row>
    <row r="2" spans="1:9" ht="33.75" x14ac:dyDescent="0.25">
      <c r="A2" s="17" t="s">
        <v>0</v>
      </c>
      <c r="B2" s="18" t="s">
        <v>1</v>
      </c>
      <c r="C2" s="19" t="s">
        <v>2</v>
      </c>
      <c r="D2" s="19" t="s">
        <v>53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</row>
    <row r="3" spans="1:9" x14ac:dyDescent="0.25">
      <c r="A3" s="20" t="s">
        <v>8</v>
      </c>
      <c r="B3" s="21" t="s">
        <v>9</v>
      </c>
      <c r="C3" s="21" t="s">
        <v>10</v>
      </c>
      <c r="D3" s="21" t="s">
        <v>11</v>
      </c>
      <c r="E3" s="21" t="s">
        <v>12</v>
      </c>
      <c r="F3" s="21" t="s">
        <v>13</v>
      </c>
      <c r="G3" s="21" t="s">
        <v>14</v>
      </c>
      <c r="H3" s="21" t="s">
        <v>15</v>
      </c>
      <c r="I3" s="21" t="s">
        <v>16</v>
      </c>
    </row>
    <row r="4" spans="1:9" x14ac:dyDescent="0.25">
      <c r="A4" s="22">
        <v>1</v>
      </c>
      <c r="B4" s="18" t="s">
        <v>17</v>
      </c>
      <c r="C4" s="23">
        <f>C5+C6</f>
        <v>1181</v>
      </c>
      <c r="D4" s="24">
        <f>D5+D6</f>
        <v>9887124</v>
      </c>
      <c r="E4" s="6">
        <f t="shared" ref="E4:I4" si="0">E5+E6</f>
        <v>3172919</v>
      </c>
      <c r="F4" s="6">
        <f t="shared" si="0"/>
        <v>300000</v>
      </c>
      <c r="G4" s="6">
        <f t="shared" si="0"/>
        <v>720000</v>
      </c>
      <c r="H4" s="6">
        <f t="shared" si="0"/>
        <v>3865579</v>
      </c>
      <c r="I4" s="24">
        <f t="shared" si="0"/>
        <v>17945622</v>
      </c>
    </row>
    <row r="5" spans="1:9" x14ac:dyDescent="0.25">
      <c r="A5" s="25"/>
      <c r="B5" s="4" t="s">
        <v>18</v>
      </c>
      <c r="C5" s="26">
        <f>C8+C11+C14+C23+C26+C29+C38+C41+C44+C47+C50+C59+C62+C65</f>
        <v>1181</v>
      </c>
      <c r="D5" s="27">
        <f>D8+D11+D59+D14+D23+D26+D29+D38+D41+D44+D47+D50+D62+D65</f>
        <v>9887124</v>
      </c>
      <c r="E5" s="7">
        <f t="shared" ref="E5:H5" si="1">E8+E11+E59+E14+E23+E26+E29+E38+E41+E44+E47+E50+E62+E65</f>
        <v>2843828</v>
      </c>
      <c r="F5" s="7">
        <f t="shared" si="1"/>
        <v>300000</v>
      </c>
      <c r="G5" s="7">
        <f t="shared" si="1"/>
        <v>500000</v>
      </c>
      <c r="H5" s="7">
        <f t="shared" si="1"/>
        <v>3144543</v>
      </c>
      <c r="I5" s="27">
        <f>D5+E5+F5+G5+H5</f>
        <v>16675495</v>
      </c>
    </row>
    <row r="6" spans="1:9" x14ac:dyDescent="0.25">
      <c r="A6" s="25"/>
      <c r="B6" s="4" t="s">
        <v>19</v>
      </c>
      <c r="C6" s="26">
        <f>C9+C12+C15</f>
        <v>0</v>
      </c>
      <c r="D6" s="26">
        <f>D9+D12+D15+D24+D27+D30+D39+D42+D45+D48+D51+D63+D66+D60</f>
        <v>0</v>
      </c>
      <c r="E6" s="2">
        <f t="shared" ref="E6:H6" si="2">E9+E12+E15+E24+E27+E30+E39+E42+E45+E48+E51+E63+E66+E60</f>
        <v>329091</v>
      </c>
      <c r="F6" s="2">
        <f t="shared" si="2"/>
        <v>0</v>
      </c>
      <c r="G6" s="2">
        <f t="shared" si="2"/>
        <v>220000</v>
      </c>
      <c r="H6" s="2">
        <f t="shared" si="2"/>
        <v>721036</v>
      </c>
      <c r="I6" s="27">
        <f>D6+E6+F6+G6+H6</f>
        <v>1270127</v>
      </c>
    </row>
    <row r="7" spans="1:9" x14ac:dyDescent="0.25">
      <c r="A7" s="28">
        <v>1</v>
      </c>
      <c r="B7" s="18" t="s">
        <v>20</v>
      </c>
      <c r="C7" s="29">
        <f>C8</f>
        <v>37</v>
      </c>
      <c r="D7" s="30">
        <f>D9+D8</f>
        <v>372600</v>
      </c>
      <c r="E7" s="10">
        <f t="shared" ref="E7:F7" si="3">SUM(E8:E9)</f>
        <v>145000</v>
      </c>
      <c r="F7" s="10">
        <f t="shared" si="3"/>
        <v>0</v>
      </c>
      <c r="G7" s="10">
        <f t="shared" ref="G7:I7" si="4">SUM(G8:G9)</f>
        <v>170000</v>
      </c>
      <c r="H7" s="10">
        <f t="shared" si="4"/>
        <v>0</v>
      </c>
      <c r="I7" s="30">
        <f t="shared" si="4"/>
        <v>687600</v>
      </c>
    </row>
    <row r="8" spans="1:9" x14ac:dyDescent="0.25">
      <c r="A8" s="22"/>
      <c r="B8" s="4" t="s">
        <v>18</v>
      </c>
      <c r="C8" s="3">
        <v>37</v>
      </c>
      <c r="D8" s="27">
        <v>372600</v>
      </c>
      <c r="E8" s="7">
        <v>105000</v>
      </c>
      <c r="F8" s="7"/>
      <c r="G8" s="9">
        <v>120000</v>
      </c>
      <c r="H8" s="7"/>
      <c r="I8" s="32">
        <f>SUM(D8:H8)</f>
        <v>597600</v>
      </c>
    </row>
    <row r="9" spans="1:9" x14ac:dyDescent="0.25">
      <c r="A9" s="22"/>
      <c r="B9" s="4" t="s">
        <v>19</v>
      </c>
      <c r="C9" s="26"/>
      <c r="D9" s="27">
        <v>0</v>
      </c>
      <c r="E9" s="7">
        <v>40000</v>
      </c>
      <c r="F9" s="7"/>
      <c r="G9" s="9">
        <v>50000</v>
      </c>
      <c r="H9" s="7"/>
      <c r="I9" s="32">
        <f>SUM(D9:H9)</f>
        <v>90000</v>
      </c>
    </row>
    <row r="10" spans="1:9" ht="22.5" x14ac:dyDescent="0.25">
      <c r="A10" s="28">
        <v>2</v>
      </c>
      <c r="B10" s="31" t="s">
        <v>21</v>
      </c>
      <c r="C10" s="29">
        <f>C12+C11</f>
        <v>27</v>
      </c>
      <c r="D10" s="11">
        <f t="shared" ref="D10:H10" si="5">SUM(D11:D12)</f>
        <v>215374</v>
      </c>
      <c r="E10" s="11">
        <f t="shared" si="5"/>
        <v>17000</v>
      </c>
      <c r="F10" s="11">
        <f t="shared" si="5"/>
        <v>0</v>
      </c>
      <c r="G10" s="11">
        <f t="shared" si="5"/>
        <v>0</v>
      </c>
      <c r="H10" s="11">
        <f t="shared" si="5"/>
        <v>0</v>
      </c>
      <c r="I10" s="30">
        <f>SUM(D10:H10)</f>
        <v>232374</v>
      </c>
    </row>
    <row r="11" spans="1:9" x14ac:dyDescent="0.25">
      <c r="A11" s="22"/>
      <c r="B11" s="4" t="s">
        <v>18</v>
      </c>
      <c r="C11" s="26">
        <v>27</v>
      </c>
      <c r="D11" s="27">
        <v>215374</v>
      </c>
      <c r="E11" s="8">
        <f>15000</f>
        <v>15000</v>
      </c>
      <c r="F11" s="8"/>
      <c r="G11" s="8"/>
      <c r="H11" s="8"/>
      <c r="I11" s="27">
        <f>SUM(D11:H11)</f>
        <v>230374</v>
      </c>
    </row>
    <row r="12" spans="1:9" x14ac:dyDescent="0.25">
      <c r="A12" s="22"/>
      <c r="B12" s="4" t="s">
        <v>19</v>
      </c>
      <c r="C12" s="26"/>
      <c r="D12" s="27"/>
      <c r="E12" s="8">
        <v>2000</v>
      </c>
      <c r="F12" s="8"/>
      <c r="G12" s="8"/>
      <c r="H12" s="8"/>
      <c r="I12" s="27">
        <f>SUM(D12:H12)</f>
        <v>2000</v>
      </c>
    </row>
    <row r="13" spans="1:9" x14ac:dyDescent="0.25">
      <c r="A13" s="28">
        <v>3</v>
      </c>
      <c r="B13" s="31" t="s">
        <v>29</v>
      </c>
      <c r="C13" s="29">
        <f>C14+C15</f>
        <v>33</v>
      </c>
      <c r="D13" s="30">
        <f t="shared" ref="D13:I13" si="6">D14+D15</f>
        <v>211563</v>
      </c>
      <c r="E13" s="11">
        <f t="shared" si="6"/>
        <v>95000</v>
      </c>
      <c r="F13" s="11">
        <f t="shared" si="6"/>
        <v>0</v>
      </c>
      <c r="G13" s="11">
        <f t="shared" si="6"/>
        <v>0</v>
      </c>
      <c r="H13" s="11">
        <f t="shared" si="6"/>
        <v>0</v>
      </c>
      <c r="I13" s="30">
        <f t="shared" si="6"/>
        <v>306563</v>
      </c>
    </row>
    <row r="14" spans="1:9" x14ac:dyDescent="0.25">
      <c r="A14" s="22"/>
      <c r="B14" s="4" t="s">
        <v>18</v>
      </c>
      <c r="C14" s="26">
        <f>C17+C20</f>
        <v>33</v>
      </c>
      <c r="D14" s="27">
        <f>D17+D20</f>
        <v>211563</v>
      </c>
      <c r="E14" s="8">
        <f>E17+E20</f>
        <v>91000</v>
      </c>
      <c r="F14" s="8">
        <f t="shared" ref="F14:F15" si="7">F17+F20</f>
        <v>0</v>
      </c>
      <c r="G14" s="9"/>
      <c r="H14" s="8">
        <f t="shared" ref="G14:I15" si="8">H17+H20</f>
        <v>0</v>
      </c>
      <c r="I14" s="27">
        <f t="shared" si="8"/>
        <v>302563</v>
      </c>
    </row>
    <row r="15" spans="1:9" x14ac:dyDescent="0.25">
      <c r="A15" s="22"/>
      <c r="B15" s="4" t="s">
        <v>19</v>
      </c>
      <c r="C15" s="26">
        <f>C18+C21</f>
        <v>0</v>
      </c>
      <c r="D15" s="27">
        <f t="shared" ref="D15" si="9">D18+D21</f>
        <v>0</v>
      </c>
      <c r="E15" s="8">
        <f>E18+E21</f>
        <v>4000</v>
      </c>
      <c r="F15" s="8">
        <f t="shared" si="7"/>
        <v>0</v>
      </c>
      <c r="G15" s="8">
        <f t="shared" si="8"/>
        <v>0</v>
      </c>
      <c r="H15" s="8">
        <f t="shared" si="8"/>
        <v>0</v>
      </c>
      <c r="I15" s="27">
        <f t="shared" si="8"/>
        <v>4000</v>
      </c>
    </row>
    <row r="16" spans="1:9" x14ac:dyDescent="0.25">
      <c r="A16" s="25">
        <v>3.1</v>
      </c>
      <c r="B16" s="33" t="s">
        <v>22</v>
      </c>
      <c r="C16" s="5">
        <f>C17</f>
        <v>31</v>
      </c>
      <c r="D16" s="35">
        <f>SUM(D17:D18)</f>
        <v>196085</v>
      </c>
      <c r="E16" s="12">
        <f t="shared" ref="E16:I16" si="10">SUM(E17:E18)</f>
        <v>81000</v>
      </c>
      <c r="F16" s="12">
        <f t="shared" si="10"/>
        <v>0</v>
      </c>
      <c r="G16" s="12">
        <f t="shared" si="10"/>
        <v>0</v>
      </c>
      <c r="H16" s="12">
        <f t="shared" si="10"/>
        <v>0</v>
      </c>
      <c r="I16" s="35">
        <f t="shared" si="10"/>
        <v>277085</v>
      </c>
    </row>
    <row r="17" spans="1:9" x14ac:dyDescent="0.25">
      <c r="A17" s="25"/>
      <c r="B17" s="4" t="s">
        <v>18</v>
      </c>
      <c r="C17" s="26">
        <v>31</v>
      </c>
      <c r="D17" s="27">
        <v>196085</v>
      </c>
      <c r="E17" s="8">
        <v>77000</v>
      </c>
      <c r="F17" s="8"/>
      <c r="G17" s="8"/>
      <c r="H17" s="8"/>
      <c r="I17" s="27">
        <f>SUM(D17:H17)</f>
        <v>273085</v>
      </c>
    </row>
    <row r="18" spans="1:9" x14ac:dyDescent="0.25">
      <c r="A18" s="25"/>
      <c r="B18" s="4" t="s">
        <v>19</v>
      </c>
      <c r="C18" s="26"/>
      <c r="D18" s="27"/>
      <c r="E18" s="8">
        <v>4000</v>
      </c>
      <c r="F18" s="8"/>
      <c r="G18" s="8"/>
      <c r="H18" s="8"/>
      <c r="I18" s="27">
        <f>SUM(D18:H18)</f>
        <v>4000</v>
      </c>
    </row>
    <row r="19" spans="1:9" x14ac:dyDescent="0.25">
      <c r="A19" s="25">
        <v>3.2</v>
      </c>
      <c r="B19" s="36" t="s">
        <v>23</v>
      </c>
      <c r="C19" s="34">
        <f>C20</f>
        <v>2</v>
      </c>
      <c r="D19" s="35">
        <f>D20</f>
        <v>15478</v>
      </c>
      <c r="E19" s="12">
        <f t="shared" ref="E19:I19" si="11">SUM(E20:E21)</f>
        <v>14000</v>
      </c>
      <c r="F19" s="12">
        <f t="shared" si="11"/>
        <v>0</v>
      </c>
      <c r="G19" s="12">
        <f t="shared" si="11"/>
        <v>0</v>
      </c>
      <c r="H19" s="12">
        <f t="shared" si="11"/>
        <v>0</v>
      </c>
      <c r="I19" s="35">
        <f t="shared" si="11"/>
        <v>29478</v>
      </c>
    </row>
    <row r="20" spans="1:9" x14ac:dyDescent="0.25">
      <c r="A20" s="25"/>
      <c r="B20" s="4" t="s">
        <v>18</v>
      </c>
      <c r="C20" s="26">
        <v>2</v>
      </c>
      <c r="D20" s="27">
        <v>15478</v>
      </c>
      <c r="E20" s="8">
        <v>14000</v>
      </c>
      <c r="F20" s="8"/>
      <c r="G20" s="8"/>
      <c r="H20" s="8"/>
      <c r="I20" s="27">
        <f>SUM(D20:H20)</f>
        <v>29478</v>
      </c>
    </row>
    <row r="21" spans="1:9" x14ac:dyDescent="0.25">
      <c r="A21" s="25"/>
      <c r="B21" s="4" t="s">
        <v>19</v>
      </c>
      <c r="C21" s="26"/>
      <c r="D21" s="27"/>
      <c r="E21" s="8"/>
      <c r="F21" s="8"/>
      <c r="G21" s="8"/>
      <c r="H21" s="8"/>
      <c r="I21" s="27">
        <f>SUM(D21:H21)</f>
        <v>0</v>
      </c>
    </row>
    <row r="22" spans="1:9" x14ac:dyDescent="0.25">
      <c r="A22" s="28">
        <v>4</v>
      </c>
      <c r="B22" s="31" t="s">
        <v>24</v>
      </c>
      <c r="C22" s="29">
        <f>C23</f>
        <v>8</v>
      </c>
      <c r="D22" s="30">
        <f>SUM(D23:D24)</f>
        <v>74326</v>
      </c>
      <c r="E22" s="11">
        <f t="shared" ref="E22:I22" si="12">SUM(E23:E24)</f>
        <v>70000</v>
      </c>
      <c r="F22" s="11">
        <f t="shared" si="12"/>
        <v>0</v>
      </c>
      <c r="G22" s="11">
        <f t="shared" si="12"/>
        <v>0</v>
      </c>
      <c r="H22" s="11">
        <f t="shared" si="12"/>
        <v>0</v>
      </c>
      <c r="I22" s="30">
        <f t="shared" si="12"/>
        <v>144326</v>
      </c>
    </row>
    <row r="23" spans="1:9" x14ac:dyDescent="0.25">
      <c r="A23" s="25"/>
      <c r="B23" s="4" t="s">
        <v>18</v>
      </c>
      <c r="C23" s="26">
        <v>8</v>
      </c>
      <c r="D23" s="27">
        <v>74326</v>
      </c>
      <c r="E23" s="9">
        <v>70000</v>
      </c>
      <c r="F23" s="8"/>
      <c r="G23" s="8"/>
      <c r="H23" s="8"/>
      <c r="I23" s="35">
        <f>SUM(D23:H23)</f>
        <v>144326</v>
      </c>
    </row>
    <row r="24" spans="1:9" x14ac:dyDescent="0.25">
      <c r="A24" s="25"/>
      <c r="B24" s="4" t="s">
        <v>19</v>
      </c>
      <c r="C24" s="26"/>
      <c r="D24" s="27"/>
      <c r="E24" s="8"/>
      <c r="F24" s="8"/>
      <c r="G24" s="8"/>
      <c r="H24" s="8"/>
      <c r="I24" s="35">
        <f>SUM(D24:H24)</f>
        <v>0</v>
      </c>
    </row>
    <row r="25" spans="1:9" x14ac:dyDescent="0.25">
      <c r="A25" s="37">
        <v>5</v>
      </c>
      <c r="B25" s="18" t="s">
        <v>46</v>
      </c>
      <c r="C25" s="29">
        <f>C26</f>
        <v>25</v>
      </c>
      <c r="D25" s="30">
        <f>SUM(D26:D27)</f>
        <v>195000</v>
      </c>
      <c r="E25" s="11">
        <f>SUM(E26:E27)</f>
        <v>70000</v>
      </c>
      <c r="F25" s="11">
        <f t="shared" ref="F25:I25" si="13">SUM(F26:F27)</f>
        <v>0</v>
      </c>
      <c r="G25" s="11">
        <f t="shared" si="13"/>
        <v>0</v>
      </c>
      <c r="H25" s="11">
        <f t="shared" si="13"/>
        <v>3715579</v>
      </c>
      <c r="I25" s="30">
        <f t="shared" si="13"/>
        <v>3980579</v>
      </c>
    </row>
    <row r="26" spans="1:9" x14ac:dyDescent="0.25">
      <c r="A26" s="25"/>
      <c r="B26" s="4" t="s">
        <v>18</v>
      </c>
      <c r="C26" s="3">
        <v>25</v>
      </c>
      <c r="D26" s="27">
        <v>195000</v>
      </c>
      <c r="E26" s="9">
        <v>60000</v>
      </c>
      <c r="F26" s="8"/>
      <c r="G26" s="8"/>
      <c r="H26" s="9">
        <v>3024543</v>
      </c>
      <c r="I26" s="45">
        <f>SUM(D26:H26)</f>
        <v>3279543</v>
      </c>
    </row>
    <row r="27" spans="1:9" x14ac:dyDescent="0.25">
      <c r="A27" s="25"/>
      <c r="B27" s="4" t="s">
        <v>19</v>
      </c>
      <c r="C27" s="26"/>
      <c r="D27" s="27"/>
      <c r="E27" s="8">
        <v>10000</v>
      </c>
      <c r="F27" s="8"/>
      <c r="G27" s="8"/>
      <c r="H27" s="9">
        <f>510483+2544+6592+1169-6169-12428-48000-16296+296-87349+114618+54951+136386+24239+10000</f>
        <v>691036</v>
      </c>
      <c r="I27" s="45">
        <f>SUM(D27:H27)</f>
        <v>701036</v>
      </c>
    </row>
    <row r="28" spans="1:9" ht="33.75" x14ac:dyDescent="0.25">
      <c r="A28" s="28">
        <v>6</v>
      </c>
      <c r="B28" s="31" t="s">
        <v>25</v>
      </c>
      <c r="C28" s="29">
        <f>C29+C30</f>
        <v>34</v>
      </c>
      <c r="D28" s="30">
        <f>D29+D30</f>
        <v>283641</v>
      </c>
      <c r="E28" s="11">
        <f t="shared" ref="E28:I28" si="14">E29+E30</f>
        <v>1175684</v>
      </c>
      <c r="F28" s="11">
        <f t="shared" si="14"/>
        <v>162400</v>
      </c>
      <c r="G28" s="11">
        <f t="shared" si="14"/>
        <v>0</v>
      </c>
      <c r="H28" s="11">
        <f t="shared" si="14"/>
        <v>0</v>
      </c>
      <c r="I28" s="30">
        <f t="shared" si="14"/>
        <v>1621725</v>
      </c>
    </row>
    <row r="29" spans="1:9" x14ac:dyDescent="0.25">
      <c r="A29" s="25"/>
      <c r="B29" s="4" t="s">
        <v>18</v>
      </c>
      <c r="C29" s="26">
        <f>C32+C35</f>
        <v>34</v>
      </c>
      <c r="D29" s="27">
        <f t="shared" ref="D29:I30" si="15">D32+D35</f>
        <v>283641</v>
      </c>
      <c r="E29" s="8">
        <f>E32+E35</f>
        <v>1072593</v>
      </c>
      <c r="F29" s="8">
        <f>F32+F35</f>
        <v>162400</v>
      </c>
      <c r="G29" s="8">
        <f t="shared" ref="G29:H30" si="16">G32+G35</f>
        <v>0</v>
      </c>
      <c r="H29" s="8">
        <f t="shared" si="16"/>
        <v>0</v>
      </c>
      <c r="I29" s="27">
        <f t="shared" si="15"/>
        <v>1518634</v>
      </c>
    </row>
    <row r="30" spans="1:9" x14ac:dyDescent="0.25">
      <c r="A30" s="25"/>
      <c r="B30" s="4" t="s">
        <v>19</v>
      </c>
      <c r="C30" s="26"/>
      <c r="D30" s="27">
        <f>D33+D36</f>
        <v>0</v>
      </c>
      <c r="E30" s="8">
        <f>E33+E36</f>
        <v>103091</v>
      </c>
      <c r="F30" s="8">
        <f t="shared" si="15"/>
        <v>0</v>
      </c>
      <c r="G30" s="8">
        <f t="shared" si="16"/>
        <v>0</v>
      </c>
      <c r="H30" s="8">
        <f t="shared" si="16"/>
        <v>0</v>
      </c>
      <c r="I30" s="27">
        <f t="shared" si="15"/>
        <v>103091</v>
      </c>
    </row>
    <row r="31" spans="1:9" x14ac:dyDescent="0.25">
      <c r="A31" s="22" t="s">
        <v>36</v>
      </c>
      <c r="B31" s="33" t="s">
        <v>26</v>
      </c>
      <c r="C31" s="34">
        <f>C32+C33</f>
        <v>7</v>
      </c>
      <c r="D31" s="35">
        <f>SUM(D32:D33)</f>
        <v>55000</v>
      </c>
      <c r="E31" s="12">
        <f t="shared" ref="E31:I31" si="17">SUM(E32:E33)</f>
        <v>1155684</v>
      </c>
      <c r="F31" s="12">
        <f t="shared" si="17"/>
        <v>157400</v>
      </c>
      <c r="G31" s="12">
        <f t="shared" si="17"/>
        <v>0</v>
      </c>
      <c r="H31" s="12">
        <f t="shared" si="17"/>
        <v>0</v>
      </c>
      <c r="I31" s="35">
        <f t="shared" si="17"/>
        <v>1368084</v>
      </c>
    </row>
    <row r="32" spans="1:9" x14ac:dyDescent="0.25">
      <c r="A32" s="25"/>
      <c r="B32" s="4" t="s">
        <v>18</v>
      </c>
      <c r="C32" s="3">
        <v>7</v>
      </c>
      <c r="D32" s="27">
        <v>55000</v>
      </c>
      <c r="E32" s="9">
        <f>890000-34000+226593-30000</f>
        <v>1052593</v>
      </c>
      <c r="F32" s="8">
        <f>175000-17600</f>
        <v>157400</v>
      </c>
      <c r="G32" s="8"/>
      <c r="H32" s="8"/>
      <c r="I32" s="35">
        <f>SUM(D32:H32)</f>
        <v>1264993</v>
      </c>
    </row>
    <row r="33" spans="1:9" x14ac:dyDescent="0.25">
      <c r="A33" s="25"/>
      <c r="B33" s="4" t="s">
        <v>19</v>
      </c>
      <c r="C33" s="26"/>
      <c r="D33" s="27"/>
      <c r="E33" s="8">
        <v>103091</v>
      </c>
      <c r="F33" s="8"/>
      <c r="G33" s="8"/>
      <c r="H33" s="8"/>
      <c r="I33" s="35">
        <f>SUM(D33:H33)</f>
        <v>103091</v>
      </c>
    </row>
    <row r="34" spans="1:9" x14ac:dyDescent="0.25">
      <c r="A34" s="22" t="s">
        <v>37</v>
      </c>
      <c r="B34" s="33" t="s">
        <v>27</v>
      </c>
      <c r="C34" s="34">
        <f>C35+C36</f>
        <v>27</v>
      </c>
      <c r="D34" s="35">
        <f>SUM(D35:D36)</f>
        <v>228641</v>
      </c>
      <c r="E34" s="12">
        <f t="shared" ref="E34:I34" si="18">SUM(E35:E36)</f>
        <v>20000</v>
      </c>
      <c r="F34" s="12">
        <f t="shared" si="18"/>
        <v>5000</v>
      </c>
      <c r="G34" s="12">
        <f t="shared" si="18"/>
        <v>0</v>
      </c>
      <c r="H34" s="12">
        <f t="shared" si="18"/>
        <v>0</v>
      </c>
      <c r="I34" s="35">
        <f t="shared" si="18"/>
        <v>253641</v>
      </c>
    </row>
    <row r="35" spans="1:9" x14ac:dyDescent="0.25">
      <c r="A35" s="25"/>
      <c r="B35" s="4" t="s">
        <v>18</v>
      </c>
      <c r="C35" s="26">
        <v>27</v>
      </c>
      <c r="D35" s="7">
        <f>208641+20000</f>
        <v>228641</v>
      </c>
      <c r="E35" s="8">
        <v>20000</v>
      </c>
      <c r="F35" s="8">
        <v>5000</v>
      </c>
      <c r="G35" s="8"/>
      <c r="H35" s="8"/>
      <c r="I35" s="35">
        <f>SUM(D35:H35)</f>
        <v>253641</v>
      </c>
    </row>
    <row r="36" spans="1:9" x14ac:dyDescent="0.25">
      <c r="A36" s="25"/>
      <c r="B36" s="4" t="s">
        <v>19</v>
      </c>
      <c r="C36" s="26"/>
      <c r="D36" s="27"/>
      <c r="E36" s="8"/>
      <c r="F36" s="8"/>
      <c r="G36" s="8"/>
      <c r="H36" s="8"/>
      <c r="I36" s="35">
        <f>SUM(D36:H36)</f>
        <v>0</v>
      </c>
    </row>
    <row r="37" spans="1:9" x14ac:dyDescent="0.25">
      <c r="A37" s="37">
        <v>7</v>
      </c>
      <c r="B37" s="31" t="s">
        <v>43</v>
      </c>
      <c r="C37" s="29">
        <f>C38</f>
        <v>3</v>
      </c>
      <c r="D37" s="30">
        <f>SUM(D38:D39)</f>
        <v>23961</v>
      </c>
      <c r="E37" s="11">
        <f t="shared" ref="E37:I37" si="19">SUM(E38:E39)</f>
        <v>1000</v>
      </c>
      <c r="F37" s="11">
        <f t="shared" si="19"/>
        <v>0</v>
      </c>
      <c r="G37" s="11">
        <f t="shared" si="19"/>
        <v>0</v>
      </c>
      <c r="H37" s="11">
        <f t="shared" si="19"/>
        <v>0</v>
      </c>
      <c r="I37" s="30">
        <f t="shared" si="19"/>
        <v>24961</v>
      </c>
    </row>
    <row r="38" spans="1:9" x14ac:dyDescent="0.25">
      <c r="A38" s="25"/>
      <c r="B38" s="4" t="s">
        <v>18</v>
      </c>
      <c r="C38" s="26">
        <v>3</v>
      </c>
      <c r="D38" s="27">
        <v>23961</v>
      </c>
      <c r="E38" s="8">
        <f>2000-1000</f>
        <v>1000</v>
      </c>
      <c r="F38" s="8"/>
      <c r="G38" s="8"/>
      <c r="H38" s="8"/>
      <c r="I38" s="35">
        <f>SUM(D38:H38)</f>
        <v>24961</v>
      </c>
    </row>
    <row r="39" spans="1:9" x14ac:dyDescent="0.25">
      <c r="A39" s="25"/>
      <c r="B39" s="4" t="s">
        <v>19</v>
      </c>
      <c r="C39" s="26"/>
      <c r="D39" s="27"/>
      <c r="E39" s="8"/>
      <c r="F39" s="8"/>
      <c r="G39" s="8"/>
      <c r="H39" s="8"/>
      <c r="I39" s="35">
        <f>SUM(D39:H39)</f>
        <v>0</v>
      </c>
    </row>
    <row r="40" spans="1:9" x14ac:dyDescent="0.25">
      <c r="A40" s="28">
        <v>8</v>
      </c>
      <c r="B40" s="18" t="s">
        <v>38</v>
      </c>
      <c r="C40" s="29">
        <f>C41</f>
        <v>6</v>
      </c>
      <c r="D40" s="30">
        <f>SUM(D41:D42)</f>
        <v>48260</v>
      </c>
      <c r="E40" s="11">
        <f t="shared" ref="E40:F40" si="20">SUM(E41:E42)</f>
        <v>14000</v>
      </c>
      <c r="F40" s="11">
        <f t="shared" si="20"/>
        <v>0</v>
      </c>
      <c r="G40" s="11">
        <f>SUM(G41:G42)</f>
        <v>350000</v>
      </c>
      <c r="H40" s="11">
        <f t="shared" ref="H40:I40" si="21">SUM(H41:H42)</f>
        <v>0</v>
      </c>
      <c r="I40" s="30">
        <f t="shared" si="21"/>
        <v>412260</v>
      </c>
    </row>
    <row r="41" spans="1:9" x14ac:dyDescent="0.25">
      <c r="A41" s="25"/>
      <c r="B41" s="4" t="s">
        <v>18</v>
      </c>
      <c r="C41" s="3">
        <v>6</v>
      </c>
      <c r="D41" s="27">
        <v>48260</v>
      </c>
      <c r="E41" s="8">
        <f>14000</f>
        <v>14000</v>
      </c>
      <c r="F41" s="8"/>
      <c r="G41" s="9">
        <v>250000</v>
      </c>
      <c r="H41" s="8"/>
      <c r="I41" s="45">
        <f>SUM(D41:H41)</f>
        <v>312260</v>
      </c>
    </row>
    <row r="42" spans="1:9" x14ac:dyDescent="0.25">
      <c r="A42" s="25"/>
      <c r="B42" s="4" t="s">
        <v>19</v>
      </c>
      <c r="C42" s="26"/>
      <c r="D42" s="27"/>
      <c r="E42" s="8"/>
      <c r="F42" s="8"/>
      <c r="G42" s="9">
        <v>100000</v>
      </c>
      <c r="H42" s="8"/>
      <c r="I42" s="45">
        <f>SUM(D42:H42)</f>
        <v>100000</v>
      </c>
    </row>
    <row r="43" spans="1:9" x14ac:dyDescent="0.25">
      <c r="A43" s="37">
        <v>9</v>
      </c>
      <c r="B43" s="18" t="s">
        <v>39</v>
      </c>
      <c r="C43" s="29">
        <f>C44</f>
        <v>8</v>
      </c>
      <c r="D43" s="30">
        <f>SUM(D44:D45)</f>
        <v>60900</v>
      </c>
      <c r="E43" s="11">
        <f>SUM(E44:E45)</f>
        <v>10000</v>
      </c>
      <c r="F43" s="11">
        <f t="shared" ref="F43:H43" si="22">SUM(F44:F45)</f>
        <v>0</v>
      </c>
      <c r="G43" s="11">
        <f t="shared" si="22"/>
        <v>0</v>
      </c>
      <c r="H43" s="11">
        <f t="shared" si="22"/>
        <v>0</v>
      </c>
      <c r="I43" s="30">
        <f>SUM(I44:I45)</f>
        <v>70900</v>
      </c>
    </row>
    <row r="44" spans="1:9" x14ac:dyDescent="0.25">
      <c r="A44" s="25"/>
      <c r="B44" s="4" t="s">
        <v>18</v>
      </c>
      <c r="C44" s="26">
        <v>8</v>
      </c>
      <c r="D44" s="27">
        <v>60900</v>
      </c>
      <c r="E44" s="8">
        <v>10000</v>
      </c>
      <c r="F44" s="8"/>
      <c r="G44" s="8"/>
      <c r="H44" s="8"/>
      <c r="I44" s="35">
        <f>SUM(D44:H44)</f>
        <v>70900</v>
      </c>
    </row>
    <row r="45" spans="1:9" x14ac:dyDescent="0.25">
      <c r="A45" s="25"/>
      <c r="B45" s="4" t="s">
        <v>19</v>
      </c>
      <c r="C45" s="26"/>
      <c r="D45" s="27"/>
      <c r="E45" s="8"/>
      <c r="F45" s="8"/>
      <c r="G45" s="8"/>
      <c r="H45" s="8"/>
      <c r="I45" s="35">
        <f>SUM(D45:H45)</f>
        <v>0</v>
      </c>
    </row>
    <row r="46" spans="1:9" x14ac:dyDescent="0.25">
      <c r="A46" s="37">
        <v>10</v>
      </c>
      <c r="B46" s="18" t="s">
        <v>45</v>
      </c>
      <c r="C46" s="29">
        <f>SUM(C47:C48)</f>
        <v>5</v>
      </c>
      <c r="D46" s="30">
        <f>SUM(D47:D48)</f>
        <v>47959</v>
      </c>
      <c r="E46" s="11">
        <f t="shared" ref="E46:I46" si="23">SUM(E47:E48)</f>
        <v>110000</v>
      </c>
      <c r="F46" s="11">
        <f t="shared" si="23"/>
        <v>0</v>
      </c>
      <c r="G46" s="11">
        <f t="shared" si="23"/>
        <v>0</v>
      </c>
      <c r="H46" s="11">
        <f t="shared" si="23"/>
        <v>0</v>
      </c>
      <c r="I46" s="30">
        <f t="shared" si="23"/>
        <v>157959</v>
      </c>
    </row>
    <row r="47" spans="1:9" x14ac:dyDescent="0.25">
      <c r="A47" s="25"/>
      <c r="B47" s="4" t="s">
        <v>18</v>
      </c>
      <c r="C47" s="26">
        <v>5</v>
      </c>
      <c r="D47" s="27">
        <v>47959</v>
      </c>
      <c r="E47" s="8">
        <v>110000</v>
      </c>
      <c r="F47" s="8"/>
      <c r="G47" s="8"/>
      <c r="H47" s="8"/>
      <c r="I47" s="35">
        <f>SUM(D47:H47)</f>
        <v>157959</v>
      </c>
    </row>
    <row r="48" spans="1:9" x14ac:dyDescent="0.25">
      <c r="A48" s="25"/>
      <c r="B48" s="4" t="s">
        <v>19</v>
      </c>
      <c r="C48" s="26"/>
      <c r="D48" s="27"/>
      <c r="E48" s="8"/>
      <c r="F48" s="8"/>
      <c r="G48" s="8"/>
      <c r="H48" s="8"/>
      <c r="I48" s="35">
        <f>SUM(D48:H48)</f>
        <v>0</v>
      </c>
    </row>
    <row r="49" spans="1:9" ht="22.5" x14ac:dyDescent="0.25">
      <c r="A49" s="28">
        <v>11</v>
      </c>
      <c r="B49" s="31" t="s">
        <v>28</v>
      </c>
      <c r="C49" s="29">
        <f>C50+C51</f>
        <v>145</v>
      </c>
      <c r="D49" s="30">
        <f>D50+D51</f>
        <v>1385661</v>
      </c>
      <c r="E49" s="11">
        <f t="shared" ref="E49:G49" si="24">E50+E51</f>
        <v>847235</v>
      </c>
      <c r="F49" s="11">
        <f t="shared" si="24"/>
        <v>57600</v>
      </c>
      <c r="G49" s="11">
        <f t="shared" si="24"/>
        <v>0</v>
      </c>
      <c r="H49" s="11">
        <f>H50+H51</f>
        <v>10000</v>
      </c>
      <c r="I49" s="30">
        <f>I50+I51</f>
        <v>2300496</v>
      </c>
    </row>
    <row r="50" spans="1:9" x14ac:dyDescent="0.25">
      <c r="A50" s="25"/>
      <c r="B50" s="4" t="s">
        <v>18</v>
      </c>
      <c r="C50" s="26">
        <f>C53+C56</f>
        <v>145</v>
      </c>
      <c r="D50" s="27">
        <f>D53+D56</f>
        <v>1385661</v>
      </c>
      <c r="E50" s="27">
        <f>E53+E56</f>
        <v>747235</v>
      </c>
      <c r="F50" s="8">
        <f>F53+F56</f>
        <v>57600</v>
      </c>
      <c r="G50" s="8">
        <f t="shared" ref="G50:G51" si="25">G53+G56</f>
        <v>0</v>
      </c>
      <c r="H50" s="8">
        <f>H53+H56</f>
        <v>10000</v>
      </c>
      <c r="I50" s="27">
        <f>I53+I56</f>
        <v>2200496</v>
      </c>
    </row>
    <row r="51" spans="1:9" x14ac:dyDescent="0.25">
      <c r="A51" s="25"/>
      <c r="B51" s="4" t="s">
        <v>19</v>
      </c>
      <c r="C51" s="26"/>
      <c r="D51" s="27">
        <f>D54+D57</f>
        <v>0</v>
      </c>
      <c r="E51" s="27">
        <f>E54+E57</f>
        <v>100000</v>
      </c>
      <c r="F51" s="8">
        <f t="shared" ref="F51" si="26">F54+F57</f>
        <v>0</v>
      </c>
      <c r="G51" s="8">
        <f t="shared" si="25"/>
        <v>0</v>
      </c>
      <c r="H51" s="8">
        <f>H54+H57</f>
        <v>0</v>
      </c>
      <c r="I51" s="27">
        <f>I54+I57</f>
        <v>100000</v>
      </c>
    </row>
    <row r="52" spans="1:9" x14ac:dyDescent="0.25">
      <c r="A52" s="25" t="s">
        <v>40</v>
      </c>
      <c r="B52" s="38" t="s">
        <v>29</v>
      </c>
      <c r="C52" s="40">
        <f>C53</f>
        <v>3</v>
      </c>
      <c r="D52" s="41">
        <f>SUM(D53:D54)</f>
        <v>24330</v>
      </c>
      <c r="E52" s="44">
        <f t="shared" ref="E52:I52" si="27">SUM(E53:E54)</f>
        <v>2000</v>
      </c>
      <c r="F52" s="44">
        <f t="shared" si="27"/>
        <v>0</v>
      </c>
      <c r="G52" s="44">
        <f t="shared" si="27"/>
        <v>0</v>
      </c>
      <c r="H52" s="44">
        <f t="shared" si="27"/>
        <v>0</v>
      </c>
      <c r="I52" s="41">
        <f t="shared" si="27"/>
        <v>26330</v>
      </c>
    </row>
    <row r="53" spans="1:9" x14ac:dyDescent="0.25">
      <c r="A53" s="25"/>
      <c r="B53" s="4" t="s">
        <v>18</v>
      </c>
      <c r="C53" s="26">
        <v>3</v>
      </c>
      <c r="D53" s="27">
        <v>24330</v>
      </c>
      <c r="E53" s="8">
        <v>2000</v>
      </c>
      <c r="F53" s="8"/>
      <c r="G53" s="8"/>
      <c r="H53" s="8"/>
      <c r="I53" s="42">
        <f>SUM(D53:H53)</f>
        <v>26330</v>
      </c>
    </row>
    <row r="54" spans="1:9" x14ac:dyDescent="0.25">
      <c r="A54" s="25"/>
      <c r="B54" s="4" t="s">
        <v>19</v>
      </c>
      <c r="C54" s="26"/>
      <c r="D54" s="27"/>
      <c r="E54" s="8"/>
      <c r="F54" s="8"/>
      <c r="G54" s="8"/>
      <c r="H54" s="8"/>
      <c r="I54" s="35">
        <f>SUM(D54:H54)</f>
        <v>0</v>
      </c>
    </row>
    <row r="55" spans="1:9" x14ac:dyDescent="0.25">
      <c r="A55" s="25" t="s">
        <v>41</v>
      </c>
      <c r="B55" s="38" t="s">
        <v>30</v>
      </c>
      <c r="C55" s="34">
        <f>C56</f>
        <v>142</v>
      </c>
      <c r="D55" s="35">
        <f>SUM(D56:D57)</f>
        <v>1361331</v>
      </c>
      <c r="E55" s="12">
        <f t="shared" ref="E55:H55" si="28">SUM(E56:E57)</f>
        <v>845235</v>
      </c>
      <c r="F55" s="12">
        <f t="shared" si="28"/>
        <v>57600</v>
      </c>
      <c r="G55" s="12">
        <f t="shared" si="28"/>
        <v>0</v>
      </c>
      <c r="H55" s="12">
        <f t="shared" si="28"/>
        <v>10000</v>
      </c>
      <c r="I55" s="35">
        <f>SUM(I56:I57)</f>
        <v>2274166</v>
      </c>
    </row>
    <row r="56" spans="1:9" x14ac:dyDescent="0.25">
      <c r="A56" s="25"/>
      <c r="B56" s="4" t="s">
        <v>18</v>
      </c>
      <c r="C56" s="26">
        <f>142</f>
        <v>142</v>
      </c>
      <c r="D56" s="27">
        <f>1339536+21774-9980+30000+1-20000</f>
        <v>1361331</v>
      </c>
      <c r="E56" s="7">
        <f>595235+150000</f>
        <v>745235</v>
      </c>
      <c r="F56" s="8">
        <f>40000+17600</f>
        <v>57600</v>
      </c>
      <c r="G56" s="8"/>
      <c r="H56" s="8">
        <v>10000</v>
      </c>
      <c r="I56" s="35">
        <f>SUM(D56:H56)</f>
        <v>2174166</v>
      </c>
    </row>
    <row r="57" spans="1:9" x14ac:dyDescent="0.25">
      <c r="A57" s="25"/>
      <c r="B57" s="4" t="s">
        <v>19</v>
      </c>
      <c r="C57" s="26"/>
      <c r="D57" s="27"/>
      <c r="E57" s="7">
        <v>100000</v>
      </c>
      <c r="F57" s="8"/>
      <c r="G57" s="8"/>
      <c r="H57" s="8"/>
      <c r="I57" s="35">
        <f>SUM(D57:H57)</f>
        <v>100000</v>
      </c>
    </row>
    <row r="58" spans="1:9" x14ac:dyDescent="0.25">
      <c r="A58" s="25">
        <v>12</v>
      </c>
      <c r="B58" s="39" t="s">
        <v>31</v>
      </c>
      <c r="C58" s="26">
        <f>C59</f>
        <v>15</v>
      </c>
      <c r="D58" s="35">
        <f>D59+D60</f>
        <v>120000</v>
      </c>
      <c r="E58" s="12">
        <f t="shared" ref="E58:I58" si="29">E59+E60</f>
        <v>65000</v>
      </c>
      <c r="F58" s="12">
        <f t="shared" si="29"/>
        <v>5000</v>
      </c>
      <c r="G58" s="12">
        <f t="shared" si="29"/>
        <v>50000</v>
      </c>
      <c r="H58" s="12">
        <f t="shared" si="29"/>
        <v>50000</v>
      </c>
      <c r="I58" s="35">
        <f t="shared" si="29"/>
        <v>290000</v>
      </c>
    </row>
    <row r="59" spans="1:9" x14ac:dyDescent="0.25">
      <c r="A59" s="25"/>
      <c r="B59" s="4" t="s">
        <v>18</v>
      </c>
      <c r="C59" s="26">
        <v>15</v>
      </c>
      <c r="D59" s="32">
        <v>120000</v>
      </c>
      <c r="E59" s="9">
        <v>65000</v>
      </c>
      <c r="F59" s="9">
        <v>5000</v>
      </c>
      <c r="G59" s="9">
        <v>30000</v>
      </c>
      <c r="H59" s="9">
        <v>50000</v>
      </c>
      <c r="I59" s="35">
        <f>SUM(D59:H59)</f>
        <v>270000</v>
      </c>
    </row>
    <row r="60" spans="1:9" x14ac:dyDescent="0.25">
      <c r="A60" s="25"/>
      <c r="B60" s="4" t="s">
        <v>19</v>
      </c>
      <c r="C60" s="26"/>
      <c r="D60" s="27"/>
      <c r="E60" s="8"/>
      <c r="F60" s="8"/>
      <c r="G60" s="9">
        <v>20000</v>
      </c>
      <c r="H60" s="8"/>
      <c r="I60" s="35">
        <f>SUM(D60:H60)</f>
        <v>20000</v>
      </c>
    </row>
    <row r="61" spans="1:9" x14ac:dyDescent="0.25">
      <c r="A61" s="37">
        <v>13</v>
      </c>
      <c r="B61" s="18" t="s">
        <v>32</v>
      </c>
      <c r="C61" s="29">
        <f>C62</f>
        <v>12</v>
      </c>
      <c r="D61" s="30">
        <f>SUM(D62:D63)</f>
        <v>84350</v>
      </c>
      <c r="E61" s="11">
        <f t="shared" ref="E61:I61" si="30">SUM(E62:E63)</f>
        <v>60000</v>
      </c>
      <c r="F61" s="11">
        <f t="shared" si="30"/>
        <v>0</v>
      </c>
      <c r="G61" s="11">
        <f t="shared" si="30"/>
        <v>150000</v>
      </c>
      <c r="H61" s="11">
        <f t="shared" si="30"/>
        <v>0</v>
      </c>
      <c r="I61" s="30">
        <f t="shared" si="30"/>
        <v>294350</v>
      </c>
    </row>
    <row r="62" spans="1:9" x14ac:dyDescent="0.25">
      <c r="A62" s="25"/>
      <c r="B62" s="4" t="s">
        <v>18</v>
      </c>
      <c r="C62" s="3">
        <v>12</v>
      </c>
      <c r="D62" s="27">
        <v>84350</v>
      </c>
      <c r="E62" s="8">
        <v>40000</v>
      </c>
      <c r="F62" s="8"/>
      <c r="G62" s="8">
        <v>100000</v>
      </c>
      <c r="H62" s="8"/>
      <c r="I62" s="45">
        <f>SUM(D62:H62)</f>
        <v>224350</v>
      </c>
    </row>
    <row r="63" spans="1:9" x14ac:dyDescent="0.25">
      <c r="A63" s="25"/>
      <c r="B63" s="4" t="s">
        <v>19</v>
      </c>
      <c r="C63" s="26"/>
      <c r="D63" s="27"/>
      <c r="E63" s="8">
        <v>20000</v>
      </c>
      <c r="F63" s="8"/>
      <c r="G63" s="8">
        <v>50000</v>
      </c>
      <c r="H63" s="8"/>
      <c r="I63" s="45">
        <f>SUM(D63:H63)</f>
        <v>70000</v>
      </c>
    </row>
    <row r="64" spans="1:9" x14ac:dyDescent="0.25">
      <c r="A64" s="28">
        <v>14</v>
      </c>
      <c r="B64" s="31" t="s">
        <v>47</v>
      </c>
      <c r="C64" s="29">
        <f>C65</f>
        <v>823</v>
      </c>
      <c r="D64" s="30">
        <f>D65+D66</f>
        <v>6763529</v>
      </c>
      <c r="E64" s="65">
        <f t="shared" ref="E64:G64" si="31">E65+E66</f>
        <v>493000</v>
      </c>
      <c r="F64" s="11">
        <f t="shared" si="31"/>
        <v>75000</v>
      </c>
      <c r="G64" s="11">
        <f t="shared" si="31"/>
        <v>0</v>
      </c>
      <c r="H64" s="11">
        <f>H65+H66</f>
        <v>90000</v>
      </c>
      <c r="I64" s="30">
        <f t="shared" ref="I64" si="32">I65+I66</f>
        <v>7421529</v>
      </c>
    </row>
    <row r="65" spans="1:9" x14ac:dyDescent="0.25">
      <c r="A65" s="25"/>
      <c r="B65" s="4" t="s">
        <v>18</v>
      </c>
      <c r="C65" s="26">
        <f>C68+C71+C74+C77</f>
        <v>823</v>
      </c>
      <c r="D65" s="27">
        <f>D68+D71+D74+D77</f>
        <v>6763529</v>
      </c>
      <c r="E65" s="7">
        <f>E68+E71+E74+E77</f>
        <v>443000</v>
      </c>
      <c r="F65" s="7">
        <f t="shared" ref="F65:H66" si="33">F68+F71+F74+F77</f>
        <v>75000</v>
      </c>
      <c r="G65" s="7">
        <f t="shared" si="33"/>
        <v>0</v>
      </c>
      <c r="H65" s="7">
        <f>H68+H71+H74+H77</f>
        <v>60000</v>
      </c>
      <c r="I65" s="27">
        <f t="shared" ref="I65" si="34">I68+I71+I74+I77</f>
        <v>7341529</v>
      </c>
    </row>
    <row r="66" spans="1:9" x14ac:dyDescent="0.25">
      <c r="A66" s="25"/>
      <c r="B66" s="4" t="s">
        <v>19</v>
      </c>
      <c r="C66" s="26"/>
      <c r="D66" s="27">
        <f>D69+D72+D75+D78</f>
        <v>0</v>
      </c>
      <c r="E66" s="7">
        <f>E69+E72+E75+E78</f>
        <v>50000</v>
      </c>
      <c r="F66" s="7">
        <f t="shared" si="33"/>
        <v>0</v>
      </c>
      <c r="G66" s="7">
        <f t="shared" si="33"/>
        <v>0</v>
      </c>
      <c r="H66" s="7">
        <f t="shared" si="33"/>
        <v>30000</v>
      </c>
      <c r="I66" s="27">
        <f>H66+G66+F66+E66+D66</f>
        <v>80000</v>
      </c>
    </row>
    <row r="67" spans="1:9" x14ac:dyDescent="0.25">
      <c r="A67" s="25">
        <v>14.1</v>
      </c>
      <c r="B67" s="38" t="s">
        <v>29</v>
      </c>
      <c r="C67" s="34">
        <f>C68</f>
        <v>11</v>
      </c>
      <c r="D67" s="35">
        <f>SUM(D68:D69)</f>
        <v>88715</v>
      </c>
      <c r="E67" s="13">
        <f t="shared" ref="E67:I67" si="35">SUM(E68:E69)</f>
        <v>23000</v>
      </c>
      <c r="F67" s="13">
        <f t="shared" si="35"/>
        <v>75000</v>
      </c>
      <c r="G67" s="13">
        <f t="shared" si="35"/>
        <v>0</v>
      </c>
      <c r="H67" s="13">
        <f t="shared" si="35"/>
        <v>0</v>
      </c>
      <c r="I67" s="35">
        <f t="shared" si="35"/>
        <v>186715</v>
      </c>
    </row>
    <row r="68" spans="1:9" x14ac:dyDescent="0.25">
      <c r="A68" s="25"/>
      <c r="B68" s="4" t="s">
        <v>18</v>
      </c>
      <c r="C68" s="26">
        <v>11</v>
      </c>
      <c r="D68" s="27">
        <f>73715+15000</f>
        <v>88715</v>
      </c>
      <c r="E68" s="7">
        <v>23000</v>
      </c>
      <c r="F68" s="7">
        <v>75000</v>
      </c>
      <c r="G68" s="7"/>
      <c r="H68" s="7"/>
      <c r="I68" s="35">
        <f>SUM(D68:H68)</f>
        <v>186715</v>
      </c>
    </row>
    <row r="69" spans="1:9" x14ac:dyDescent="0.25">
      <c r="A69" s="25"/>
      <c r="B69" s="4" t="s">
        <v>19</v>
      </c>
      <c r="C69" s="26"/>
      <c r="D69" s="27"/>
      <c r="E69" s="7"/>
      <c r="F69" s="7"/>
      <c r="G69" s="7"/>
      <c r="H69" s="7"/>
      <c r="I69" s="35">
        <f>SUM(D69:H69)</f>
        <v>0</v>
      </c>
    </row>
    <row r="70" spans="1:9" x14ac:dyDescent="0.25">
      <c r="A70" s="25">
        <v>14.2</v>
      </c>
      <c r="B70" s="38" t="s">
        <v>33</v>
      </c>
      <c r="C70" s="34">
        <f>C71</f>
        <v>34</v>
      </c>
      <c r="D70" s="35">
        <f>SUM(D71:D72)</f>
        <v>248496</v>
      </c>
      <c r="E70" s="13">
        <f t="shared" ref="E70:I70" si="36">SUM(E71:E72)</f>
        <v>46000</v>
      </c>
      <c r="F70" s="13">
        <f t="shared" si="36"/>
        <v>0</v>
      </c>
      <c r="G70" s="13">
        <f t="shared" si="36"/>
        <v>0</v>
      </c>
      <c r="H70" s="13">
        <f t="shared" si="36"/>
        <v>0</v>
      </c>
      <c r="I70" s="35">
        <f t="shared" si="36"/>
        <v>294496</v>
      </c>
    </row>
    <row r="71" spans="1:9" x14ac:dyDescent="0.25">
      <c r="A71" s="25"/>
      <c r="B71" s="4" t="s">
        <v>18</v>
      </c>
      <c r="C71" s="26">
        <v>34</v>
      </c>
      <c r="D71" s="32">
        <v>248496</v>
      </c>
      <c r="E71" s="7">
        <v>16000</v>
      </c>
      <c r="F71" s="7"/>
      <c r="G71" s="7"/>
      <c r="H71" s="7"/>
      <c r="I71" s="35">
        <f>SUM(D71:H71)</f>
        <v>264496</v>
      </c>
    </row>
    <row r="72" spans="1:9" x14ac:dyDescent="0.25">
      <c r="A72" s="25"/>
      <c r="B72" s="4" t="s">
        <v>19</v>
      </c>
      <c r="C72" s="26"/>
      <c r="D72" s="32"/>
      <c r="E72" s="7">
        <v>30000</v>
      </c>
      <c r="F72" s="9"/>
      <c r="G72" s="9"/>
      <c r="H72" s="9"/>
      <c r="I72" s="35">
        <f>SUM(D72:H72)</f>
        <v>30000</v>
      </c>
    </row>
    <row r="73" spans="1:9" x14ac:dyDescent="0.25">
      <c r="A73" s="25">
        <v>14.3</v>
      </c>
      <c r="B73" s="38" t="s">
        <v>34</v>
      </c>
      <c r="C73" s="34">
        <f>C74+C75</f>
        <v>603</v>
      </c>
      <c r="D73" s="35">
        <f>SUM(D74:D75)</f>
        <v>4935710</v>
      </c>
      <c r="E73" s="13">
        <f t="shared" ref="E73:I73" si="37">SUM(E74:E75)</f>
        <v>300000</v>
      </c>
      <c r="F73" s="13">
        <f t="shared" si="37"/>
        <v>0</v>
      </c>
      <c r="G73" s="13">
        <f t="shared" si="37"/>
        <v>0</v>
      </c>
      <c r="H73" s="13">
        <f t="shared" si="37"/>
        <v>0</v>
      </c>
      <c r="I73" s="35">
        <f t="shared" si="37"/>
        <v>5235710</v>
      </c>
    </row>
    <row r="74" spans="1:9" x14ac:dyDescent="0.25">
      <c r="A74" s="25"/>
      <c r="B74" s="4" t="s">
        <v>18</v>
      </c>
      <c r="C74" s="26">
        <v>603</v>
      </c>
      <c r="D74" s="32">
        <f>4850505-3000+51720+36485</f>
        <v>4935710</v>
      </c>
      <c r="E74" s="7">
        <v>290000</v>
      </c>
      <c r="F74" s="7"/>
      <c r="G74" s="7"/>
      <c r="H74" s="7"/>
      <c r="I74" s="35">
        <f>SUM(D74:H74)</f>
        <v>5225710</v>
      </c>
    </row>
    <row r="75" spans="1:9" x14ac:dyDescent="0.25">
      <c r="A75" s="25"/>
      <c r="B75" s="4" t="s">
        <v>19</v>
      </c>
      <c r="C75" s="26"/>
      <c r="D75" s="27"/>
      <c r="E75" s="7">
        <v>10000</v>
      </c>
      <c r="F75" s="7"/>
      <c r="G75" s="7"/>
      <c r="H75" s="7"/>
      <c r="I75" s="35">
        <f>SUM(D75:H75)</f>
        <v>10000</v>
      </c>
    </row>
    <row r="76" spans="1:9" x14ac:dyDescent="0.25">
      <c r="A76" s="25">
        <v>14.4</v>
      </c>
      <c r="B76" s="38" t="s">
        <v>35</v>
      </c>
      <c r="C76" s="34">
        <f>C77</f>
        <v>175</v>
      </c>
      <c r="D76" s="35">
        <f>SUM(D77:D78)</f>
        <v>1490608</v>
      </c>
      <c r="E76" s="13">
        <f>SUM(E77:E78)</f>
        <v>124000</v>
      </c>
      <c r="F76" s="13">
        <f t="shared" ref="F76:I76" si="38">SUM(F77:F78)</f>
        <v>0</v>
      </c>
      <c r="G76" s="13">
        <f t="shared" si="38"/>
        <v>0</v>
      </c>
      <c r="H76" s="13">
        <f t="shared" si="38"/>
        <v>90000</v>
      </c>
      <c r="I76" s="35">
        <f t="shared" si="38"/>
        <v>1704608</v>
      </c>
    </row>
    <row r="77" spans="1:9" x14ac:dyDescent="0.25">
      <c r="A77" s="25"/>
      <c r="B77" s="4" t="s">
        <v>18</v>
      </c>
      <c r="C77" s="26">
        <v>175</v>
      </c>
      <c r="D77" s="32">
        <f>689642+567365+213601+20000</f>
        <v>1490608</v>
      </c>
      <c r="E77" s="7">
        <v>114000</v>
      </c>
      <c r="F77" s="7"/>
      <c r="G77" s="7"/>
      <c r="H77" s="7">
        <v>60000</v>
      </c>
      <c r="I77" s="35">
        <f>SUM(D77:H77)</f>
        <v>1664608</v>
      </c>
    </row>
    <row r="78" spans="1:9" x14ac:dyDescent="0.25">
      <c r="A78" s="25"/>
      <c r="B78" s="4" t="s">
        <v>19</v>
      </c>
      <c r="C78" s="26"/>
      <c r="D78" s="32"/>
      <c r="E78" s="7">
        <v>10000</v>
      </c>
      <c r="F78" s="7"/>
      <c r="G78" s="7"/>
      <c r="H78" s="7">
        <v>30000</v>
      </c>
      <c r="I78" s="35">
        <f>SUM(D78:H78)</f>
        <v>40000</v>
      </c>
    </row>
  </sheetData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79"/>
  <sheetViews>
    <sheetView tabSelected="1" workbookViewId="0">
      <selection activeCell="J9" sqref="J9"/>
    </sheetView>
  </sheetViews>
  <sheetFormatPr defaultRowHeight="15" x14ac:dyDescent="0.25"/>
  <cols>
    <col min="1" max="1" width="4.5703125" customWidth="1"/>
    <col min="2" max="2" width="21" customWidth="1"/>
    <col min="3" max="3" width="10.140625" customWidth="1"/>
    <col min="4" max="4" width="14.28515625" customWidth="1"/>
    <col min="5" max="5" width="13.28515625" customWidth="1"/>
    <col min="6" max="6" width="16.85546875" customWidth="1"/>
    <col min="7" max="7" width="13" customWidth="1"/>
    <col min="8" max="8" width="12" customWidth="1"/>
  </cols>
  <sheetData>
    <row r="1" spans="1:8" x14ac:dyDescent="0.25">
      <c r="A1" t="s">
        <v>49</v>
      </c>
    </row>
    <row r="2" spans="1:8" x14ac:dyDescent="0.25">
      <c r="A2" s="15">
        <f ca="1">A2:H71</f>
        <v>0</v>
      </c>
      <c r="B2" s="16" t="s">
        <v>56</v>
      </c>
      <c r="C2" s="15"/>
    </row>
    <row r="3" spans="1:8" x14ac:dyDescent="0.25">
      <c r="A3" s="17" t="s">
        <v>0</v>
      </c>
      <c r="B3" s="18" t="s">
        <v>1</v>
      </c>
      <c r="C3" s="19" t="s">
        <v>2</v>
      </c>
      <c r="D3" s="66"/>
      <c r="E3" s="66"/>
      <c r="F3" s="66"/>
      <c r="G3" s="66"/>
      <c r="H3" s="67"/>
    </row>
    <row r="4" spans="1:8" x14ac:dyDescent="0.25">
      <c r="A4" s="20" t="s">
        <v>8</v>
      </c>
      <c r="B4" s="21" t="s">
        <v>9</v>
      </c>
      <c r="C4" s="21" t="s">
        <v>10</v>
      </c>
      <c r="D4" s="1" t="s">
        <v>51</v>
      </c>
      <c r="E4" s="1" t="s">
        <v>50</v>
      </c>
      <c r="F4" s="1" t="s">
        <v>52</v>
      </c>
      <c r="G4" s="1" t="s">
        <v>50</v>
      </c>
      <c r="H4" s="1" t="s">
        <v>42</v>
      </c>
    </row>
    <row r="5" spans="1:8" x14ac:dyDescent="0.25">
      <c r="A5" s="22">
        <v>1</v>
      </c>
      <c r="B5" s="18" t="s">
        <v>17</v>
      </c>
      <c r="C5" s="46">
        <f>C6+C7</f>
        <v>1171</v>
      </c>
      <c r="D5" s="46">
        <f>D6+D7</f>
        <v>588</v>
      </c>
      <c r="E5" s="46">
        <f t="shared" ref="E5:F5" si="0">E6+E7</f>
        <v>4826337.72</v>
      </c>
      <c r="F5" s="46">
        <f t="shared" si="0"/>
        <v>557</v>
      </c>
      <c r="G5" s="46">
        <f>G6+G7</f>
        <v>4900097.92</v>
      </c>
      <c r="H5" s="46">
        <f>E5+G5</f>
        <v>9726435.6400000006</v>
      </c>
    </row>
    <row r="6" spans="1:8" x14ac:dyDescent="0.25">
      <c r="A6" s="25"/>
      <c r="B6" s="4" t="s">
        <v>18</v>
      </c>
      <c r="C6" s="26">
        <f>C9+C12+C15+C24+C27+C30+C39+C42+C45+C48+C51+C63+C66+C60</f>
        <v>1171</v>
      </c>
      <c r="D6" s="27">
        <f t="shared" ref="D6:G6" si="1">D9+D12+D15+D24+D27+D30+D39+D42+D45+D48+D51+D63+D66+D60</f>
        <v>588</v>
      </c>
      <c r="E6" s="27">
        <f t="shared" si="1"/>
        <v>4826337.72</v>
      </c>
      <c r="F6" s="27">
        <f>F9+F12+F15+F24+F27+F30+F39+F42+F45+F48+F51+F63+F66+F60+1</f>
        <v>557</v>
      </c>
      <c r="G6" s="27">
        <f t="shared" si="1"/>
        <v>4900097.92</v>
      </c>
      <c r="H6" s="27">
        <f>H9+H12+H15+H24+H27+H30+H39+H42+H45+H48+H51+H63+H66+H60</f>
        <v>9726435.6399999987</v>
      </c>
    </row>
    <row r="7" spans="1:8" x14ac:dyDescent="0.25">
      <c r="A7" s="25"/>
      <c r="B7" s="4" t="s">
        <v>19</v>
      </c>
      <c r="C7" s="26">
        <f>C10+C13+C16</f>
        <v>0</v>
      </c>
      <c r="D7" s="26">
        <f t="shared" ref="D7:H7" si="2">D10+D13+D16+D25+D28+D31+D40+D43+D46+D49+D52+D64+D67+D61</f>
        <v>0</v>
      </c>
      <c r="E7" s="26">
        <f t="shared" si="2"/>
        <v>0</v>
      </c>
      <c r="F7" s="26">
        <f t="shared" si="2"/>
        <v>0</v>
      </c>
      <c r="G7" s="26">
        <f t="shared" si="2"/>
        <v>0</v>
      </c>
      <c r="H7" s="26">
        <f t="shared" si="2"/>
        <v>0</v>
      </c>
    </row>
    <row r="8" spans="1:8" x14ac:dyDescent="0.25">
      <c r="A8" s="28">
        <v>1</v>
      </c>
      <c r="B8" s="18" t="s">
        <v>20</v>
      </c>
      <c r="C8" s="29">
        <f>C9</f>
        <v>37</v>
      </c>
      <c r="D8" s="29">
        <f>D9</f>
        <v>7</v>
      </c>
      <c r="E8" s="30">
        <f>E10+E9</f>
        <v>59368.72</v>
      </c>
      <c r="F8" s="29">
        <f>F9</f>
        <v>30</v>
      </c>
      <c r="G8" s="30">
        <f>G10+G9</f>
        <v>302631</v>
      </c>
      <c r="H8" s="14">
        <f>E8+G8</f>
        <v>361999.72</v>
      </c>
    </row>
    <row r="9" spans="1:8" x14ac:dyDescent="0.25">
      <c r="A9" s="22"/>
      <c r="B9" s="4" t="s">
        <v>18</v>
      </c>
      <c r="C9" s="26">
        <v>37</v>
      </c>
      <c r="D9" s="26">
        <v>7</v>
      </c>
      <c r="E9" s="27">
        <f>4614.06*12+4000</f>
        <v>59368.72</v>
      </c>
      <c r="F9" s="26">
        <v>30</v>
      </c>
      <c r="G9" s="27">
        <v>302631</v>
      </c>
      <c r="H9" s="14">
        <f>E9+G9</f>
        <v>361999.72</v>
      </c>
    </row>
    <row r="10" spans="1:8" x14ac:dyDescent="0.25">
      <c r="A10" s="22"/>
      <c r="B10" s="4" t="s">
        <v>19</v>
      </c>
      <c r="C10" s="26"/>
      <c r="D10" s="26"/>
      <c r="E10" s="27">
        <v>0</v>
      </c>
      <c r="F10" s="26"/>
      <c r="G10" s="27">
        <v>0</v>
      </c>
      <c r="H10" s="14">
        <f t="shared" ref="H10:H72" si="3">E10+G10</f>
        <v>0</v>
      </c>
    </row>
    <row r="11" spans="1:8" x14ac:dyDescent="0.25">
      <c r="A11" s="28">
        <v>2</v>
      </c>
      <c r="B11" s="31" t="s">
        <v>21</v>
      </c>
      <c r="C11" s="29">
        <v>27</v>
      </c>
      <c r="D11" s="29"/>
      <c r="E11" s="30">
        <f>SUM(E12:E13)</f>
        <v>80792.399999999994</v>
      </c>
      <c r="F11" s="29"/>
      <c r="G11" s="30">
        <f>SUM(G12:G13)</f>
        <v>134207.63999999998</v>
      </c>
      <c r="H11" s="14">
        <f t="shared" si="3"/>
        <v>215000.03999999998</v>
      </c>
    </row>
    <row r="12" spans="1:8" x14ac:dyDescent="0.25">
      <c r="A12" s="22"/>
      <c r="B12" s="4" t="s">
        <v>18</v>
      </c>
      <c r="C12" s="26">
        <v>27</v>
      </c>
      <c r="D12" s="26"/>
      <c r="E12" s="27">
        <f>6482.7*12+3000</f>
        <v>80792.399999999994</v>
      </c>
      <c r="F12" s="26"/>
      <c r="G12" s="27">
        <f>10994.22*12+2277</f>
        <v>134207.63999999998</v>
      </c>
      <c r="H12" s="14">
        <f>E12+G12</f>
        <v>215000.03999999998</v>
      </c>
    </row>
    <row r="13" spans="1:8" x14ac:dyDescent="0.25">
      <c r="A13" s="22"/>
      <c r="B13" s="4" t="s">
        <v>19</v>
      </c>
      <c r="C13" s="26"/>
      <c r="D13" s="26"/>
      <c r="E13" s="27"/>
      <c r="F13" s="26"/>
      <c r="G13" s="27"/>
      <c r="H13" s="14">
        <f t="shared" si="3"/>
        <v>0</v>
      </c>
    </row>
    <row r="14" spans="1:8" x14ac:dyDescent="0.25">
      <c r="A14" s="28">
        <v>3</v>
      </c>
      <c r="B14" s="31" t="s">
        <v>29</v>
      </c>
      <c r="C14" s="29">
        <f>C15+C16</f>
        <v>33</v>
      </c>
      <c r="D14" s="29">
        <f>D15+D16</f>
        <v>10</v>
      </c>
      <c r="E14" s="30">
        <f t="shared" ref="E14" si="4">E15+E16</f>
        <v>53524.36</v>
      </c>
      <c r="F14" s="29">
        <f>F15+F16</f>
        <v>23</v>
      </c>
      <c r="G14" s="30">
        <f t="shared" ref="G14" si="5">G15+G16</f>
        <v>152275.59999999998</v>
      </c>
      <c r="H14" s="14">
        <f t="shared" si="3"/>
        <v>205799.95999999996</v>
      </c>
    </row>
    <row r="15" spans="1:8" x14ac:dyDescent="0.25">
      <c r="A15" s="22"/>
      <c r="B15" s="4" t="s">
        <v>18</v>
      </c>
      <c r="C15" s="26">
        <f>C18+C21</f>
        <v>33</v>
      </c>
      <c r="D15" s="27">
        <f t="shared" ref="D15:F16" si="6">D18+D21</f>
        <v>10</v>
      </c>
      <c r="E15" s="27">
        <f t="shared" si="6"/>
        <v>53524.36</v>
      </c>
      <c r="F15" s="27">
        <f t="shared" si="6"/>
        <v>23</v>
      </c>
      <c r="G15" s="27">
        <f>G18+G21</f>
        <v>152275.59999999998</v>
      </c>
      <c r="H15" s="14">
        <f>E15+G15</f>
        <v>205799.95999999996</v>
      </c>
    </row>
    <row r="16" spans="1:8" x14ac:dyDescent="0.25">
      <c r="A16" s="22"/>
      <c r="B16" s="4" t="s">
        <v>19</v>
      </c>
      <c r="C16" s="26">
        <f>C19+C22</f>
        <v>0</v>
      </c>
      <c r="D16" s="26">
        <f>D19+D22</f>
        <v>0</v>
      </c>
      <c r="E16" s="27">
        <f t="shared" si="6"/>
        <v>0</v>
      </c>
      <c r="F16" s="26">
        <f>F19+F22</f>
        <v>0</v>
      </c>
      <c r="G16" s="27">
        <f t="shared" ref="G16" si="7">G19+G22</f>
        <v>0</v>
      </c>
      <c r="H16" s="14">
        <f t="shared" si="3"/>
        <v>0</v>
      </c>
    </row>
    <row r="17" spans="1:8" x14ac:dyDescent="0.25">
      <c r="A17" s="25">
        <v>3.1</v>
      </c>
      <c r="B17" s="33" t="s">
        <v>22</v>
      </c>
      <c r="C17" s="34">
        <f>C18</f>
        <v>31</v>
      </c>
      <c r="D17" s="34">
        <f>D18</f>
        <v>10</v>
      </c>
      <c r="E17" s="35">
        <f>SUM(E18:E19)</f>
        <v>53524.36</v>
      </c>
      <c r="F17" s="34">
        <f>F18</f>
        <v>21</v>
      </c>
      <c r="G17" s="35">
        <f>SUM(G18:G19)</f>
        <v>137975.59999999998</v>
      </c>
      <c r="H17" s="14">
        <f t="shared" si="3"/>
        <v>191499.95999999996</v>
      </c>
    </row>
    <row r="18" spans="1:8" x14ac:dyDescent="0.25">
      <c r="A18" s="25"/>
      <c r="B18" s="4" t="s">
        <v>18</v>
      </c>
      <c r="C18" s="26">
        <v>31</v>
      </c>
      <c r="D18" s="26">
        <v>10</v>
      </c>
      <c r="E18" s="27">
        <f>4502.03*12-500</f>
        <v>53524.36</v>
      </c>
      <c r="F18" s="26">
        <v>21</v>
      </c>
      <c r="G18" s="27">
        <f>11554.05*12-673</f>
        <v>137975.59999999998</v>
      </c>
      <c r="H18" s="14">
        <f>E18+G18</f>
        <v>191499.95999999996</v>
      </c>
    </row>
    <row r="19" spans="1:8" x14ac:dyDescent="0.25">
      <c r="A19" s="25"/>
      <c r="B19" s="4" t="s">
        <v>19</v>
      </c>
      <c r="C19" s="26"/>
      <c r="D19" s="26"/>
      <c r="E19" s="27"/>
      <c r="F19" s="26"/>
      <c r="G19" s="27"/>
      <c r="H19" s="14">
        <f t="shared" si="3"/>
        <v>0</v>
      </c>
    </row>
    <row r="20" spans="1:8" x14ac:dyDescent="0.25">
      <c r="A20" s="25">
        <v>3.2</v>
      </c>
      <c r="B20" s="36" t="s">
        <v>23</v>
      </c>
      <c r="C20" s="34">
        <f>C21</f>
        <v>2</v>
      </c>
      <c r="D20" s="34">
        <f>D21</f>
        <v>0</v>
      </c>
      <c r="E20" s="35">
        <f>SUM(E21:E22)</f>
        <v>0</v>
      </c>
      <c r="F20" s="34">
        <f>F21</f>
        <v>2</v>
      </c>
      <c r="G20" s="35">
        <f>SUM(G21:G22)</f>
        <v>14300</v>
      </c>
      <c r="H20" s="14">
        <f t="shared" si="3"/>
        <v>14300</v>
      </c>
    </row>
    <row r="21" spans="1:8" x14ac:dyDescent="0.25">
      <c r="A21" s="25"/>
      <c r="B21" s="4" t="s">
        <v>18</v>
      </c>
      <c r="C21" s="26">
        <v>2</v>
      </c>
      <c r="D21" s="26"/>
      <c r="E21" s="27"/>
      <c r="F21" s="26">
        <v>2</v>
      </c>
      <c r="G21" s="27">
        <v>14300</v>
      </c>
      <c r="H21" s="14">
        <f>E21+G21</f>
        <v>14300</v>
      </c>
    </row>
    <row r="22" spans="1:8" x14ac:dyDescent="0.25">
      <c r="A22" s="25"/>
      <c r="B22" s="4" t="s">
        <v>19</v>
      </c>
      <c r="C22" s="26"/>
      <c r="D22" s="26"/>
      <c r="E22" s="27"/>
      <c r="F22" s="26"/>
      <c r="G22" s="27"/>
      <c r="H22" s="14">
        <f t="shared" si="3"/>
        <v>0</v>
      </c>
    </row>
    <row r="23" spans="1:8" x14ac:dyDescent="0.25">
      <c r="A23" s="28">
        <v>4</v>
      </c>
      <c r="B23" s="31" t="s">
        <v>24</v>
      </c>
      <c r="C23" s="29">
        <f>C24</f>
        <v>8</v>
      </c>
      <c r="D23" s="29">
        <f>D24</f>
        <v>0</v>
      </c>
      <c r="E23" s="30">
        <f>SUM(E24:E25)</f>
        <v>0</v>
      </c>
      <c r="F23" s="29">
        <f>F24</f>
        <v>8</v>
      </c>
      <c r="G23" s="30">
        <f>SUM(G24:G25)</f>
        <v>72500</v>
      </c>
      <c r="H23" s="14">
        <f t="shared" si="3"/>
        <v>72500</v>
      </c>
    </row>
    <row r="24" spans="1:8" x14ac:dyDescent="0.25">
      <c r="A24" s="25"/>
      <c r="B24" s="4" t="s">
        <v>18</v>
      </c>
      <c r="C24" s="26">
        <v>8</v>
      </c>
      <c r="D24" s="26"/>
      <c r="E24" s="27"/>
      <c r="F24" s="26">
        <v>8</v>
      </c>
      <c r="G24" s="27">
        <v>72500</v>
      </c>
      <c r="H24" s="14">
        <f>E24+G24</f>
        <v>72500</v>
      </c>
    </row>
    <row r="25" spans="1:8" x14ac:dyDescent="0.25">
      <c r="A25" s="25"/>
      <c r="B25" s="4" t="s">
        <v>19</v>
      </c>
      <c r="C25" s="26"/>
      <c r="D25" s="26"/>
      <c r="E25" s="27"/>
      <c r="F25" s="26"/>
      <c r="G25" s="27"/>
      <c r="H25" s="14">
        <f t="shared" si="3"/>
        <v>0</v>
      </c>
    </row>
    <row r="26" spans="1:8" x14ac:dyDescent="0.25">
      <c r="A26" s="37">
        <v>5</v>
      </c>
      <c r="B26" s="18" t="s">
        <v>46</v>
      </c>
      <c r="C26" s="29">
        <f>C27</f>
        <v>24</v>
      </c>
      <c r="D26" s="29">
        <f>D27</f>
        <v>6</v>
      </c>
      <c r="E26" s="30">
        <f>SUM(E27:E28)</f>
        <v>49141.840000000004</v>
      </c>
      <c r="F26" s="29">
        <f>F27</f>
        <v>18</v>
      </c>
      <c r="G26" s="30">
        <f>SUM(G27:G28)</f>
        <v>135858.40000000002</v>
      </c>
      <c r="H26" s="14">
        <f t="shared" si="3"/>
        <v>185000.24000000002</v>
      </c>
    </row>
    <row r="27" spans="1:8" x14ac:dyDescent="0.25">
      <c r="A27" s="25"/>
      <c r="B27" s="4" t="s">
        <v>18</v>
      </c>
      <c r="C27" s="26">
        <v>24</v>
      </c>
      <c r="D27" s="26">
        <v>6</v>
      </c>
      <c r="E27" s="27">
        <f>3761.82*12+4000</f>
        <v>49141.840000000004</v>
      </c>
      <c r="F27" s="26">
        <v>18</v>
      </c>
      <c r="G27" s="27">
        <f>10931.2*12+4684</f>
        <v>135858.40000000002</v>
      </c>
      <c r="H27" s="14">
        <f>E27+G27</f>
        <v>185000.24000000002</v>
      </c>
    </row>
    <row r="28" spans="1:8" x14ac:dyDescent="0.25">
      <c r="A28" s="25"/>
      <c r="B28" s="4" t="s">
        <v>19</v>
      </c>
      <c r="C28" s="26"/>
      <c r="D28" s="26"/>
      <c r="E28" s="27"/>
      <c r="F28" s="26"/>
      <c r="G28" s="27"/>
      <c r="H28" s="14">
        <f t="shared" si="3"/>
        <v>0</v>
      </c>
    </row>
    <row r="29" spans="1:8" ht="27" customHeight="1" x14ac:dyDescent="0.25">
      <c r="A29" s="28">
        <v>6</v>
      </c>
      <c r="B29" s="31" t="s">
        <v>25</v>
      </c>
      <c r="C29" s="29">
        <f t="shared" ref="C29:G29" si="8">C30+C31</f>
        <v>34</v>
      </c>
      <c r="D29" s="29">
        <f t="shared" si="8"/>
        <v>1</v>
      </c>
      <c r="E29" s="30">
        <f t="shared" si="8"/>
        <v>7709.5999999999995</v>
      </c>
      <c r="F29" s="29">
        <f t="shared" si="8"/>
        <v>33</v>
      </c>
      <c r="G29" s="30">
        <f t="shared" si="8"/>
        <v>265490.40000000002</v>
      </c>
      <c r="H29" s="14">
        <f t="shared" si="3"/>
        <v>273200</v>
      </c>
    </row>
    <row r="30" spans="1:8" x14ac:dyDescent="0.25">
      <c r="A30" s="25"/>
      <c r="B30" s="4" t="s">
        <v>18</v>
      </c>
      <c r="C30" s="26">
        <f>C33+C36</f>
        <v>34</v>
      </c>
      <c r="D30" s="26">
        <f>D33+D36</f>
        <v>1</v>
      </c>
      <c r="E30" s="27">
        <f t="shared" ref="E30" si="9">E33+E36</f>
        <v>7709.5999999999995</v>
      </c>
      <c r="F30" s="26">
        <f>F33+F36</f>
        <v>33</v>
      </c>
      <c r="G30" s="27">
        <f t="shared" ref="G30" si="10">G33+G36</f>
        <v>265490.40000000002</v>
      </c>
      <c r="H30" s="14">
        <f>E30+G30</f>
        <v>273200</v>
      </c>
    </row>
    <row r="31" spans="1:8" x14ac:dyDescent="0.25">
      <c r="A31" s="25"/>
      <c r="B31" s="4" t="s">
        <v>19</v>
      </c>
      <c r="C31" s="26"/>
      <c r="D31" s="26"/>
      <c r="E31" s="27">
        <f>E34+E37</f>
        <v>0</v>
      </c>
      <c r="F31" s="26"/>
      <c r="G31" s="27">
        <f>G34+G37</f>
        <v>0</v>
      </c>
      <c r="H31" s="14">
        <f t="shared" si="3"/>
        <v>0</v>
      </c>
    </row>
    <row r="32" spans="1:8" x14ac:dyDescent="0.25">
      <c r="A32" s="22" t="s">
        <v>36</v>
      </c>
      <c r="B32" s="33" t="s">
        <v>26</v>
      </c>
      <c r="C32" s="34">
        <f>C33+C34</f>
        <v>7</v>
      </c>
      <c r="D32" s="34">
        <f>D33+D34</f>
        <v>1</v>
      </c>
      <c r="E32" s="35">
        <f>SUM(E33:E34)</f>
        <v>7709.5999999999995</v>
      </c>
      <c r="F32" s="34">
        <f>F33+F34</f>
        <v>6</v>
      </c>
      <c r="G32" s="35">
        <f>SUM(G33:G34)</f>
        <v>45490.399999999994</v>
      </c>
      <c r="H32" s="14">
        <f t="shared" si="3"/>
        <v>53199.999999999993</v>
      </c>
    </row>
    <row r="33" spans="1:8" x14ac:dyDescent="0.25">
      <c r="A33" s="25"/>
      <c r="B33" s="4" t="s">
        <v>18</v>
      </c>
      <c r="C33" s="26">
        <v>7</v>
      </c>
      <c r="D33" s="26">
        <v>1</v>
      </c>
      <c r="E33" s="27">
        <f>625.8*12+200</f>
        <v>7709.5999999999995</v>
      </c>
      <c r="F33" s="26">
        <v>6</v>
      </c>
      <c r="G33" s="27">
        <f>3594.7*12+2354</f>
        <v>45490.399999999994</v>
      </c>
      <c r="H33" s="14">
        <f>E33+G33</f>
        <v>53199.999999999993</v>
      </c>
    </row>
    <row r="34" spans="1:8" x14ac:dyDescent="0.25">
      <c r="A34" s="25"/>
      <c r="B34" s="4" t="s">
        <v>19</v>
      </c>
      <c r="C34" s="26"/>
      <c r="D34" s="26"/>
      <c r="E34" s="27"/>
      <c r="F34" s="26"/>
      <c r="G34" s="27"/>
      <c r="H34" s="14">
        <f t="shared" si="3"/>
        <v>0</v>
      </c>
    </row>
    <row r="35" spans="1:8" x14ac:dyDescent="0.25">
      <c r="A35" s="22" t="s">
        <v>37</v>
      </c>
      <c r="B35" s="33" t="s">
        <v>27</v>
      </c>
      <c r="C35" s="34">
        <f>C36+C37</f>
        <v>27</v>
      </c>
      <c r="D35" s="34">
        <f>D36+D37</f>
        <v>0</v>
      </c>
      <c r="E35" s="35">
        <f>SUM(E36:E37)</f>
        <v>0</v>
      </c>
      <c r="F35" s="34">
        <f>F36+F37</f>
        <v>27</v>
      </c>
      <c r="G35" s="35">
        <f>SUM(G36:G37)</f>
        <v>220000</v>
      </c>
      <c r="H35" s="14">
        <f t="shared" si="3"/>
        <v>220000</v>
      </c>
    </row>
    <row r="36" spans="1:8" x14ac:dyDescent="0.25">
      <c r="A36" s="25"/>
      <c r="B36" s="4" t="s">
        <v>18</v>
      </c>
      <c r="C36" s="26">
        <v>27</v>
      </c>
      <c r="D36" s="26"/>
      <c r="E36" s="27"/>
      <c r="F36" s="26">
        <v>27</v>
      </c>
      <c r="G36" s="27">
        <v>220000</v>
      </c>
      <c r="H36" s="14">
        <f>E36+G36</f>
        <v>220000</v>
      </c>
    </row>
    <row r="37" spans="1:8" x14ac:dyDescent="0.25">
      <c r="A37" s="25"/>
      <c r="B37" s="4" t="s">
        <v>19</v>
      </c>
      <c r="C37" s="26"/>
      <c r="D37" s="26"/>
      <c r="E37" s="27"/>
      <c r="F37" s="26"/>
      <c r="G37" s="27"/>
      <c r="H37" s="14">
        <f t="shared" si="3"/>
        <v>0</v>
      </c>
    </row>
    <row r="38" spans="1:8" x14ac:dyDescent="0.25">
      <c r="A38" s="37">
        <v>7</v>
      </c>
      <c r="B38" s="31" t="s">
        <v>43</v>
      </c>
      <c r="C38" s="29">
        <f>C39</f>
        <v>3</v>
      </c>
      <c r="D38" s="29">
        <f>D39</f>
        <v>0</v>
      </c>
      <c r="E38" s="30">
        <f>SUM(E39:E40)</f>
        <v>0</v>
      </c>
      <c r="F38" s="29">
        <f>F39</f>
        <v>3</v>
      </c>
      <c r="G38" s="30">
        <f>SUM(G39:G40)</f>
        <v>23200</v>
      </c>
      <c r="H38" s="14">
        <f t="shared" si="3"/>
        <v>23200</v>
      </c>
    </row>
    <row r="39" spans="1:8" x14ac:dyDescent="0.25">
      <c r="A39" s="25"/>
      <c r="B39" s="4" t="s">
        <v>18</v>
      </c>
      <c r="C39" s="26">
        <v>3</v>
      </c>
      <c r="D39" s="26"/>
      <c r="E39" s="27"/>
      <c r="F39" s="26">
        <v>3</v>
      </c>
      <c r="G39" s="27">
        <v>23200</v>
      </c>
      <c r="H39" s="14">
        <f t="shared" si="3"/>
        <v>23200</v>
      </c>
    </row>
    <row r="40" spans="1:8" x14ac:dyDescent="0.25">
      <c r="A40" s="25"/>
      <c r="B40" s="4" t="s">
        <v>19</v>
      </c>
      <c r="C40" s="26"/>
      <c r="D40" s="26"/>
      <c r="E40" s="27"/>
      <c r="F40" s="26"/>
      <c r="G40" s="27"/>
      <c r="H40" s="14">
        <f t="shared" si="3"/>
        <v>0</v>
      </c>
    </row>
    <row r="41" spans="1:8" x14ac:dyDescent="0.25">
      <c r="A41" s="28">
        <v>8</v>
      </c>
      <c r="B41" s="18" t="s">
        <v>38</v>
      </c>
      <c r="C41" s="29">
        <f>C42</f>
        <v>6</v>
      </c>
      <c r="D41" s="29">
        <f>D42</f>
        <v>3</v>
      </c>
      <c r="E41" s="30">
        <f>SUM(E42:E43)</f>
        <v>24851.399999999998</v>
      </c>
      <c r="F41" s="29">
        <f>F42</f>
        <v>3</v>
      </c>
      <c r="G41" s="30">
        <f>SUM(G42:G43)</f>
        <v>22149</v>
      </c>
      <c r="H41" s="14">
        <f t="shared" si="3"/>
        <v>47000.399999999994</v>
      </c>
    </row>
    <row r="42" spans="1:8" x14ac:dyDescent="0.25">
      <c r="A42" s="25"/>
      <c r="B42" s="4" t="s">
        <v>18</v>
      </c>
      <c r="C42" s="26">
        <f>D42+F42</f>
        <v>6</v>
      </c>
      <c r="D42" s="26">
        <v>3</v>
      </c>
      <c r="E42" s="27">
        <f>2070.95*12</f>
        <v>24851.399999999998</v>
      </c>
      <c r="F42" s="26">
        <v>3</v>
      </c>
      <c r="G42" s="27">
        <v>22149</v>
      </c>
      <c r="H42" s="14">
        <f>E42+G42</f>
        <v>47000.399999999994</v>
      </c>
    </row>
    <row r="43" spans="1:8" x14ac:dyDescent="0.25">
      <c r="A43" s="25"/>
      <c r="B43" s="4" t="s">
        <v>19</v>
      </c>
      <c r="C43" s="26"/>
      <c r="D43" s="26"/>
      <c r="E43" s="27"/>
      <c r="F43" s="26"/>
      <c r="G43" s="27"/>
      <c r="H43" s="14">
        <f t="shared" si="3"/>
        <v>0</v>
      </c>
    </row>
    <row r="44" spans="1:8" x14ac:dyDescent="0.25">
      <c r="A44" s="37">
        <v>9</v>
      </c>
      <c r="B44" s="18" t="s">
        <v>39</v>
      </c>
      <c r="C44" s="29">
        <f>C45</f>
        <v>8</v>
      </c>
      <c r="D44" s="29">
        <f>D45</f>
        <v>2</v>
      </c>
      <c r="E44" s="30">
        <f>SUM(E45:E46)</f>
        <v>17056.04</v>
      </c>
      <c r="F44" s="29">
        <f>F45</f>
        <v>6</v>
      </c>
      <c r="G44" s="30">
        <f>SUM(G45:G46)</f>
        <v>41944</v>
      </c>
      <c r="H44" s="14">
        <f t="shared" si="3"/>
        <v>59000.04</v>
      </c>
    </row>
    <row r="45" spans="1:8" x14ac:dyDescent="0.25">
      <c r="A45" s="25"/>
      <c r="B45" s="4" t="s">
        <v>18</v>
      </c>
      <c r="C45" s="26">
        <f>D45+F45</f>
        <v>8</v>
      </c>
      <c r="D45" s="26">
        <v>2</v>
      </c>
      <c r="E45" s="27">
        <f>1404.67*12+200</f>
        <v>17056.04</v>
      </c>
      <c r="F45" s="26">
        <v>6</v>
      </c>
      <c r="G45" s="27">
        <v>41944</v>
      </c>
      <c r="H45" s="14">
        <f>E45+G45</f>
        <v>59000.04</v>
      </c>
    </row>
    <row r="46" spans="1:8" x14ac:dyDescent="0.25">
      <c r="A46" s="25"/>
      <c r="B46" s="4" t="s">
        <v>19</v>
      </c>
      <c r="C46" s="26"/>
      <c r="D46" s="26"/>
      <c r="E46" s="27"/>
      <c r="F46" s="26"/>
      <c r="G46" s="27"/>
      <c r="H46" s="14">
        <f t="shared" si="3"/>
        <v>0</v>
      </c>
    </row>
    <row r="47" spans="1:8" x14ac:dyDescent="0.25">
      <c r="A47" s="37">
        <v>10</v>
      </c>
      <c r="B47" s="18" t="s">
        <v>45</v>
      </c>
      <c r="C47" s="29">
        <f t="shared" ref="C47:G47" si="11">SUM(C48:C49)</f>
        <v>5</v>
      </c>
      <c r="D47" s="29">
        <f t="shared" si="11"/>
        <v>1</v>
      </c>
      <c r="E47" s="30">
        <f t="shared" si="11"/>
        <v>9023.0399999999991</v>
      </c>
      <c r="F47" s="29">
        <f t="shared" si="11"/>
        <v>4</v>
      </c>
      <c r="G47" s="30">
        <f t="shared" si="11"/>
        <v>37377</v>
      </c>
      <c r="H47" s="14">
        <f t="shared" si="3"/>
        <v>46400.04</v>
      </c>
    </row>
    <row r="48" spans="1:8" x14ac:dyDescent="0.25">
      <c r="A48" s="25"/>
      <c r="B48" s="4" t="s">
        <v>18</v>
      </c>
      <c r="C48" s="26">
        <v>5</v>
      </c>
      <c r="D48" s="26">
        <v>1</v>
      </c>
      <c r="E48" s="27">
        <f>676.92*12+900</f>
        <v>9023.0399999999991</v>
      </c>
      <c r="F48" s="26">
        <v>4</v>
      </c>
      <c r="G48" s="27">
        <f>3004*12+1329</f>
        <v>37377</v>
      </c>
      <c r="H48" s="14">
        <f>E48+G48</f>
        <v>46400.04</v>
      </c>
    </row>
    <row r="49" spans="1:8" x14ac:dyDescent="0.25">
      <c r="A49" s="25"/>
      <c r="B49" s="4" t="s">
        <v>19</v>
      </c>
      <c r="C49" s="26"/>
      <c r="D49" s="26"/>
      <c r="E49" s="27"/>
      <c r="F49" s="26"/>
      <c r="G49" s="27"/>
      <c r="H49" s="14">
        <f t="shared" si="3"/>
        <v>0</v>
      </c>
    </row>
    <row r="50" spans="1:8" ht="23.25" customHeight="1" x14ac:dyDescent="0.25">
      <c r="A50" s="28">
        <v>11</v>
      </c>
      <c r="B50" s="31" t="s">
        <v>28</v>
      </c>
      <c r="C50" s="29">
        <f t="shared" ref="C50:G50" si="12">C51+C52</f>
        <v>145</v>
      </c>
      <c r="D50" s="29">
        <f t="shared" si="12"/>
        <v>93</v>
      </c>
      <c r="E50" s="30">
        <f t="shared" si="12"/>
        <v>863318</v>
      </c>
      <c r="F50" s="29">
        <f>F51+F52</f>
        <v>52</v>
      </c>
      <c r="G50" s="30">
        <f t="shared" si="12"/>
        <v>520582.2</v>
      </c>
      <c r="H50" s="14">
        <f t="shared" si="3"/>
        <v>1383900.2</v>
      </c>
    </row>
    <row r="51" spans="1:8" x14ac:dyDescent="0.25">
      <c r="A51" s="25"/>
      <c r="B51" s="4" t="s">
        <v>18</v>
      </c>
      <c r="C51" s="26">
        <f t="shared" ref="C51:G51" si="13">C54+C57</f>
        <v>145</v>
      </c>
      <c r="D51" s="26">
        <f t="shared" si="13"/>
        <v>93</v>
      </c>
      <c r="E51" s="27">
        <f t="shared" si="13"/>
        <v>863318</v>
      </c>
      <c r="F51" s="26">
        <f>F54+F57</f>
        <v>52</v>
      </c>
      <c r="G51" s="27">
        <f t="shared" si="13"/>
        <v>520582.2</v>
      </c>
      <c r="H51" s="14">
        <f t="shared" si="3"/>
        <v>1383900.2</v>
      </c>
    </row>
    <row r="52" spans="1:8" x14ac:dyDescent="0.25">
      <c r="A52" s="25"/>
      <c r="B52" s="4" t="s">
        <v>19</v>
      </c>
      <c r="C52" s="26"/>
      <c r="D52" s="26"/>
      <c r="E52" s="27">
        <f>E55+E58</f>
        <v>0</v>
      </c>
      <c r="F52" s="26"/>
      <c r="G52" s="27">
        <f>G55+G58</f>
        <v>0</v>
      </c>
      <c r="H52" s="14">
        <f t="shared" si="3"/>
        <v>0</v>
      </c>
    </row>
    <row r="53" spans="1:8" x14ac:dyDescent="0.25">
      <c r="A53" s="25" t="s">
        <v>40</v>
      </c>
      <c r="B53" s="38" t="s">
        <v>29</v>
      </c>
      <c r="C53" s="40">
        <f>C54</f>
        <v>3</v>
      </c>
      <c r="D53" s="40">
        <f>D54</f>
        <v>2</v>
      </c>
      <c r="E53" s="41">
        <f>SUM(E54:E55)</f>
        <v>17964</v>
      </c>
      <c r="F53" s="40">
        <f>F54</f>
        <v>1</v>
      </c>
      <c r="G53" s="41">
        <f>SUM(G54:G55)</f>
        <v>5936.2000000000007</v>
      </c>
      <c r="H53" s="14">
        <f t="shared" si="3"/>
        <v>23900.2</v>
      </c>
    </row>
    <row r="54" spans="1:8" x14ac:dyDescent="0.25">
      <c r="A54" s="25"/>
      <c r="B54" s="4" t="s">
        <v>18</v>
      </c>
      <c r="C54" s="26">
        <v>3</v>
      </c>
      <c r="D54" s="26">
        <v>2</v>
      </c>
      <c r="E54" s="27">
        <f>1440*12+684</f>
        <v>17964</v>
      </c>
      <c r="F54" s="26">
        <v>1</v>
      </c>
      <c r="G54" s="27">
        <f>461.35*12+400</f>
        <v>5936.2000000000007</v>
      </c>
      <c r="H54" s="14">
        <f t="shared" si="3"/>
        <v>23900.2</v>
      </c>
    </row>
    <row r="55" spans="1:8" x14ac:dyDescent="0.25">
      <c r="A55" s="25"/>
      <c r="B55" s="4" t="s">
        <v>19</v>
      </c>
      <c r="C55" s="26"/>
      <c r="D55" s="26"/>
      <c r="E55" s="27"/>
      <c r="F55" s="26"/>
      <c r="G55" s="27"/>
      <c r="H55" s="14">
        <f t="shared" si="3"/>
        <v>0</v>
      </c>
    </row>
    <row r="56" spans="1:8" x14ac:dyDescent="0.25">
      <c r="A56" s="25" t="s">
        <v>41</v>
      </c>
      <c r="B56" s="38" t="s">
        <v>30</v>
      </c>
      <c r="C56" s="34">
        <f>C57</f>
        <v>142</v>
      </c>
      <c r="D56" s="34">
        <f>D57</f>
        <v>91</v>
      </c>
      <c r="E56" s="35">
        <f>SUM(E57:E58)</f>
        <v>845354</v>
      </c>
      <c r="F56" s="34">
        <f>F57</f>
        <v>51</v>
      </c>
      <c r="G56" s="35">
        <f>SUM(G57:G58)</f>
        <v>514646</v>
      </c>
      <c r="H56" s="14">
        <f t="shared" si="3"/>
        <v>1360000</v>
      </c>
    </row>
    <row r="57" spans="1:8" x14ac:dyDescent="0.25">
      <c r="A57" s="25"/>
      <c r="B57" s="4" t="s">
        <v>18</v>
      </c>
      <c r="C57" s="26">
        <v>142</v>
      </c>
      <c r="D57" s="26">
        <v>91</v>
      </c>
      <c r="E57" s="27">
        <f>775354+70000</f>
        <v>845354</v>
      </c>
      <c r="F57" s="26">
        <v>51</v>
      </c>
      <c r="G57" s="27">
        <f>478816+14582+30248-9000</f>
        <v>514646</v>
      </c>
      <c r="H57" s="14">
        <f t="shared" si="3"/>
        <v>1360000</v>
      </c>
    </row>
    <row r="58" spans="1:8" x14ac:dyDescent="0.25">
      <c r="A58" s="25"/>
      <c r="B58" s="4" t="s">
        <v>19</v>
      </c>
      <c r="C58" s="26"/>
      <c r="D58" s="26"/>
      <c r="E58" s="27"/>
      <c r="F58" s="26"/>
      <c r="G58" s="27"/>
      <c r="H58" s="14">
        <f t="shared" si="3"/>
        <v>0</v>
      </c>
    </row>
    <row r="59" spans="1:8" x14ac:dyDescent="0.25">
      <c r="A59" s="25">
        <v>12</v>
      </c>
      <c r="B59" s="39" t="s">
        <v>31</v>
      </c>
      <c r="C59" s="26">
        <f>C60</f>
        <v>16</v>
      </c>
      <c r="D59" s="26">
        <f>D60</f>
        <v>6</v>
      </c>
      <c r="E59" s="35">
        <f>E60+E61</f>
        <v>40198.639999999999</v>
      </c>
      <c r="F59" s="26">
        <f>F60</f>
        <v>10</v>
      </c>
      <c r="G59" s="35">
        <f>G60+G61</f>
        <v>77801.600000000006</v>
      </c>
      <c r="H59" s="14">
        <f t="shared" si="3"/>
        <v>118000.24</v>
      </c>
    </row>
    <row r="60" spans="1:8" x14ac:dyDescent="0.25">
      <c r="A60" s="25"/>
      <c r="B60" s="4" t="s">
        <v>18</v>
      </c>
      <c r="C60" s="26">
        <f>D60+F60</f>
        <v>16</v>
      </c>
      <c r="D60" s="26">
        <v>6</v>
      </c>
      <c r="E60" s="27">
        <f>433.22*12+35000</f>
        <v>40198.639999999999</v>
      </c>
      <c r="F60" s="26">
        <v>10</v>
      </c>
      <c r="G60" s="27">
        <f>5269.3*12+15000-430</f>
        <v>77801.600000000006</v>
      </c>
      <c r="H60" s="14">
        <f t="shared" si="3"/>
        <v>118000.24</v>
      </c>
    </row>
    <row r="61" spans="1:8" x14ac:dyDescent="0.25">
      <c r="A61" s="25"/>
      <c r="B61" s="4" t="s">
        <v>19</v>
      </c>
      <c r="C61" s="26"/>
      <c r="D61" s="26"/>
      <c r="E61" s="27"/>
      <c r="F61" s="26"/>
      <c r="G61" s="27"/>
      <c r="H61" s="14">
        <f t="shared" si="3"/>
        <v>0</v>
      </c>
    </row>
    <row r="62" spans="1:8" x14ac:dyDescent="0.25">
      <c r="A62" s="37">
        <v>13</v>
      </c>
      <c r="B62" s="18" t="s">
        <v>32</v>
      </c>
      <c r="C62" s="29">
        <f>C63</f>
        <v>14</v>
      </c>
      <c r="D62" s="29">
        <f>D63</f>
        <v>5</v>
      </c>
      <c r="E62" s="30">
        <f>SUM(E63:E64)</f>
        <v>35664.68</v>
      </c>
      <c r="F62" s="29">
        <f>F63</f>
        <v>9</v>
      </c>
      <c r="G62" s="30">
        <f>SUM(G63:G64)</f>
        <v>58335.479999999996</v>
      </c>
      <c r="H62" s="14">
        <f t="shared" si="3"/>
        <v>94000.16</v>
      </c>
    </row>
    <row r="63" spans="1:8" x14ac:dyDescent="0.25">
      <c r="A63" s="25"/>
      <c r="B63" s="4" t="s">
        <v>18</v>
      </c>
      <c r="C63" s="26">
        <v>14</v>
      </c>
      <c r="D63" s="26">
        <v>5</v>
      </c>
      <c r="E63" s="27">
        <f>2805.39*12+2000</f>
        <v>35664.68</v>
      </c>
      <c r="F63" s="26">
        <v>9</v>
      </c>
      <c r="G63" s="27">
        <f>4694.29*12+2004</f>
        <v>58335.479999999996</v>
      </c>
      <c r="H63" s="14">
        <f t="shared" si="3"/>
        <v>94000.16</v>
      </c>
    </row>
    <row r="64" spans="1:8" x14ac:dyDescent="0.25">
      <c r="A64" s="25"/>
      <c r="B64" s="4" t="s">
        <v>19</v>
      </c>
      <c r="C64" s="26"/>
      <c r="D64" s="26"/>
      <c r="E64" s="27"/>
      <c r="F64" s="26"/>
      <c r="G64" s="27"/>
      <c r="H64" s="14">
        <f t="shared" si="3"/>
        <v>0</v>
      </c>
    </row>
    <row r="65" spans="1:8" x14ac:dyDescent="0.25">
      <c r="A65" s="28">
        <v>14</v>
      </c>
      <c r="B65" s="31" t="s">
        <v>47</v>
      </c>
      <c r="C65" s="29">
        <f>C66</f>
        <v>811</v>
      </c>
      <c r="D65" s="29">
        <f>D66</f>
        <v>454</v>
      </c>
      <c r="E65" s="30">
        <f>E66+E67</f>
        <v>3585689</v>
      </c>
      <c r="F65" s="29">
        <f>F66</f>
        <v>357</v>
      </c>
      <c r="G65" s="30">
        <f>G66+G67</f>
        <v>3055745.6</v>
      </c>
      <c r="H65" s="14">
        <f>E65+G65</f>
        <v>6641434.5999999996</v>
      </c>
    </row>
    <row r="66" spans="1:8" x14ac:dyDescent="0.25">
      <c r="A66" s="25"/>
      <c r="B66" s="4" t="s">
        <v>18</v>
      </c>
      <c r="C66" s="26">
        <f>C69+C72+C75+C78</f>
        <v>811</v>
      </c>
      <c r="D66" s="27">
        <f t="shared" ref="D66:H66" si="14">D69+D72+D75+D78</f>
        <v>454</v>
      </c>
      <c r="E66" s="27">
        <f t="shared" si="14"/>
        <v>3585689</v>
      </c>
      <c r="F66" s="27">
        <f t="shared" si="14"/>
        <v>357</v>
      </c>
      <c r="G66" s="27">
        <f>G69+G72+G75+G78</f>
        <v>3055745.6</v>
      </c>
      <c r="H66" s="27">
        <f t="shared" si="14"/>
        <v>6641434.5999999996</v>
      </c>
    </row>
    <row r="67" spans="1:8" x14ac:dyDescent="0.25">
      <c r="A67" s="25"/>
      <c r="B67" s="4" t="s">
        <v>19</v>
      </c>
      <c r="C67" s="26"/>
      <c r="D67" s="26"/>
      <c r="E67" s="27">
        <f>E70+E73+E76+E79</f>
        <v>0</v>
      </c>
      <c r="F67" s="26"/>
      <c r="G67" s="27">
        <f>G70+G73+G76+G79</f>
        <v>0</v>
      </c>
      <c r="H67" s="14">
        <f t="shared" si="3"/>
        <v>0</v>
      </c>
    </row>
    <row r="68" spans="1:8" x14ac:dyDescent="0.25">
      <c r="A68" s="25">
        <v>14.1</v>
      </c>
      <c r="B68" s="38" t="s">
        <v>29</v>
      </c>
      <c r="C68" s="34">
        <f>C69</f>
        <v>9</v>
      </c>
      <c r="D68" s="34">
        <f>D69</f>
        <v>3</v>
      </c>
      <c r="E68" s="35">
        <f>SUM(E69:E70)</f>
        <v>28364</v>
      </c>
      <c r="F68" s="34">
        <f>F69</f>
        <v>6</v>
      </c>
      <c r="G68" s="35">
        <f>SUM(G69:G70)</f>
        <v>46635.8</v>
      </c>
      <c r="H68" s="14">
        <f t="shared" si="3"/>
        <v>74999.8</v>
      </c>
    </row>
    <row r="69" spans="1:8" x14ac:dyDescent="0.25">
      <c r="A69" s="25"/>
      <c r="B69" s="4" t="s">
        <v>18</v>
      </c>
      <c r="C69" s="26">
        <f>D69+F69</f>
        <v>9</v>
      </c>
      <c r="D69" s="26">
        <v>3</v>
      </c>
      <c r="E69" s="27">
        <f>32364-4000</f>
        <v>28364</v>
      </c>
      <c r="F69" s="26">
        <v>6</v>
      </c>
      <c r="G69" s="27">
        <f>48818.8-2183</f>
        <v>46635.8</v>
      </c>
      <c r="H69" s="14">
        <f t="shared" si="3"/>
        <v>74999.8</v>
      </c>
    </row>
    <row r="70" spans="1:8" x14ac:dyDescent="0.25">
      <c r="A70" s="25"/>
      <c r="B70" s="4" t="s">
        <v>19</v>
      </c>
      <c r="C70" s="26"/>
      <c r="D70" s="26"/>
      <c r="E70" s="27"/>
      <c r="F70" s="26"/>
      <c r="G70" s="27"/>
      <c r="H70" s="14">
        <f t="shared" si="3"/>
        <v>0</v>
      </c>
    </row>
    <row r="71" spans="1:8" x14ac:dyDescent="0.25">
      <c r="A71" s="25">
        <v>14.2</v>
      </c>
      <c r="B71" s="38" t="s">
        <v>33</v>
      </c>
      <c r="C71" s="34">
        <f>C72</f>
        <v>24</v>
      </c>
      <c r="D71" s="34">
        <f>D72</f>
        <v>22</v>
      </c>
      <c r="E71" s="35">
        <f>SUM(E72:E73)</f>
        <v>159802</v>
      </c>
      <c r="F71" s="34">
        <f>F72</f>
        <v>2</v>
      </c>
      <c r="G71" s="35">
        <f>SUM(G72:G73)</f>
        <v>10197.799999999999</v>
      </c>
      <c r="H71" s="14">
        <f t="shared" si="3"/>
        <v>169999.8</v>
      </c>
    </row>
    <row r="72" spans="1:8" x14ac:dyDescent="0.25">
      <c r="A72" s="25"/>
      <c r="B72" s="4" t="s">
        <v>18</v>
      </c>
      <c r="C72" s="26">
        <f>D72+F72</f>
        <v>24</v>
      </c>
      <c r="D72" s="26">
        <v>22</v>
      </c>
      <c r="E72" s="32">
        <f>160223-421</f>
        <v>159802</v>
      </c>
      <c r="F72" s="26">
        <v>2</v>
      </c>
      <c r="G72" s="32">
        <v>10197.799999999999</v>
      </c>
      <c r="H72" s="14">
        <f t="shared" si="3"/>
        <v>169999.8</v>
      </c>
    </row>
    <row r="73" spans="1:8" x14ac:dyDescent="0.25">
      <c r="A73" s="25"/>
      <c r="B73" s="4" t="s">
        <v>19</v>
      </c>
      <c r="C73" s="26"/>
      <c r="D73" s="26"/>
      <c r="E73" s="32"/>
      <c r="F73" s="26"/>
      <c r="G73" s="32"/>
      <c r="H73" s="14">
        <f t="shared" ref="H73:H79" si="15">E73+G73</f>
        <v>0</v>
      </c>
    </row>
    <row r="74" spans="1:8" x14ac:dyDescent="0.25">
      <c r="A74" s="25">
        <v>14.3</v>
      </c>
      <c r="B74" s="38" t="s">
        <v>34</v>
      </c>
      <c r="C74" s="34">
        <f>C75+C76</f>
        <v>603</v>
      </c>
      <c r="D74" s="34">
        <f>D75+D76</f>
        <v>358</v>
      </c>
      <c r="E74" s="35">
        <f>SUM(E75:E76)</f>
        <v>2801386</v>
      </c>
      <c r="F74" s="34">
        <f>F75+F76</f>
        <v>245</v>
      </c>
      <c r="G74" s="35">
        <f>SUM(G75:G76)</f>
        <v>2105128</v>
      </c>
      <c r="H74" s="14">
        <f t="shared" si="15"/>
        <v>4906514</v>
      </c>
    </row>
    <row r="75" spans="1:8" x14ac:dyDescent="0.25">
      <c r="A75" s="25"/>
      <c r="B75" s="4" t="s">
        <v>18</v>
      </c>
      <c r="C75" s="26">
        <f>D75+F75</f>
        <v>603</v>
      </c>
      <c r="D75" s="26">
        <v>358</v>
      </c>
      <c r="E75" s="32">
        <f>2621386+180000</f>
        <v>2801386</v>
      </c>
      <c r="F75" s="26">
        <v>245</v>
      </c>
      <c r="G75" s="32">
        <f>1942921+16000+146208-1</f>
        <v>2105128</v>
      </c>
      <c r="H75" s="14">
        <f>E75+G75</f>
        <v>4906514</v>
      </c>
    </row>
    <row r="76" spans="1:8" x14ac:dyDescent="0.25">
      <c r="A76" s="25"/>
      <c r="B76" s="4" t="s">
        <v>19</v>
      </c>
      <c r="C76" s="26"/>
      <c r="D76" s="26"/>
      <c r="E76" s="27"/>
      <c r="F76" s="26"/>
      <c r="G76" s="27"/>
      <c r="H76" s="14">
        <f t="shared" si="15"/>
        <v>0</v>
      </c>
    </row>
    <row r="77" spans="1:8" x14ac:dyDescent="0.25">
      <c r="A77" s="25">
        <v>14.4</v>
      </c>
      <c r="B77" s="38" t="s">
        <v>35</v>
      </c>
      <c r="C77" s="34">
        <f>C78</f>
        <v>175</v>
      </c>
      <c r="D77" s="34">
        <f>D78</f>
        <v>71</v>
      </c>
      <c r="E77" s="35">
        <f>SUM(E78:E79)</f>
        <v>596137</v>
      </c>
      <c r="F77" s="34">
        <f>F78</f>
        <v>104</v>
      </c>
      <c r="G77" s="35">
        <f>SUM(G78:G79)</f>
        <v>893784</v>
      </c>
      <c r="H77" s="14">
        <f t="shared" si="15"/>
        <v>1489921</v>
      </c>
    </row>
    <row r="78" spans="1:8" x14ac:dyDescent="0.25">
      <c r="A78" s="25"/>
      <c r="B78" s="4" t="s">
        <v>18</v>
      </c>
      <c r="C78" s="26">
        <f>D78+F78</f>
        <v>175</v>
      </c>
      <c r="D78" s="26">
        <v>71</v>
      </c>
      <c r="E78" s="32">
        <f>556710+39427</f>
        <v>596137</v>
      </c>
      <c r="F78" s="26">
        <v>104</v>
      </c>
      <c r="G78" s="32">
        <f>833784+60000</f>
        <v>893784</v>
      </c>
      <c r="H78" s="14">
        <f>E78+G78</f>
        <v>1489921</v>
      </c>
    </row>
    <row r="79" spans="1:8" x14ac:dyDescent="0.25">
      <c r="A79" s="25"/>
      <c r="B79" s="4" t="s">
        <v>19</v>
      </c>
      <c r="C79" s="26"/>
      <c r="D79" s="26"/>
      <c r="E79" s="32"/>
      <c r="F79" s="26"/>
      <c r="G79" s="32"/>
      <c r="H79" s="14">
        <f t="shared" si="15"/>
        <v>0</v>
      </c>
    </row>
  </sheetData>
  <mergeCells count="1">
    <mergeCell ref="D3:H3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2026</vt:lpstr>
      <vt:lpstr>2027</vt:lpstr>
      <vt:lpstr>2025 QB 202502</vt:lpstr>
      <vt:lpstr>Buxhetimi gjinor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2025-02-21T10:02:22Z</dcterms:modified>
</cp:coreProperties>
</file>